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Users\gilayala\OneDrive\Desktop\Financiero 24_04_2024\"/>
    </mc:Choice>
  </mc:AlternateContent>
  <xr:revisionPtr revIDLastSave="0" documentId="13_ncr:1_{4ACA603F-DA13-41C7-A07E-8350D33D3E3D}" xr6:coauthVersionLast="47" xr6:coauthVersionMax="47" xr10:uidLastSave="{00000000-0000-0000-0000-000000000000}"/>
  <bookViews>
    <workbookView xWindow="11424" yWindow="0" windowWidth="11712" windowHeight="12336" tabRatio="598" firstSheet="3" activeTab="5" xr2:uid="{CA3C5238-0702-4E8D-A7A2-75408737A5CF}"/>
  </bookViews>
  <sheets>
    <sheet name="PRESUPUESTO DETALLADO PENM TB" sheetId="1" r:id="rId1"/>
    <sheet name="PRESUPUESTO DETALLADO PENM  (2)" sheetId="10" r:id="rId2"/>
    <sheet name="Hoja2" sheetId="8" state="hidden" r:id="rId3"/>
    <sheet name="Hoja4" sheetId="4" r:id="rId4"/>
    <sheet name="Hoja5" sheetId="5" r:id="rId5"/>
    <sheet name="Hoja6" sheetId="6" r:id="rId6"/>
    <sheet name="Hoja7" sheetId="7" r:id="rId7"/>
    <sheet name="Hoja1" sheetId="9" r:id="rId8"/>
  </sheets>
  <definedNames>
    <definedName name="_xlnm._FilterDatabase" localSheetId="1" hidden="1">'PRESUPUESTO DETALLADO PENM  (2)'!$C$2:$AD$109</definedName>
    <definedName name="_xlnm._FilterDatabase" localSheetId="0" hidden="1">'PRESUPUESTO DETALLADO PENM TB'!$A$2:$AI$105</definedName>
  </definedNames>
  <calcPr calcId="191029"/>
  <pivotCaches>
    <pivotCache cacheId="34" r:id="rId9"/>
    <pivotCache cacheId="65"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7" i="10" l="1"/>
  <c r="W67" i="10"/>
  <c r="T67" i="10"/>
  <c r="AD67" i="1"/>
  <c r="AA67" i="1"/>
  <c r="X67" i="1"/>
  <c r="U67" i="1"/>
  <c r="R67" i="1"/>
  <c r="R3" i="1"/>
  <c r="A13" i="4"/>
  <c r="A14" i="4"/>
  <c r="A15" i="4"/>
  <c r="A16" i="4"/>
  <c r="A17" i="4"/>
  <c r="A18" i="4"/>
  <c r="A19" i="4"/>
  <c r="A20" i="4"/>
  <c r="T103" i="10"/>
  <c r="V103" i="10" s="1"/>
  <c r="W103" i="10" s="1"/>
  <c r="Z102" i="10"/>
  <c r="W102" i="10"/>
  <c r="T102" i="10"/>
  <c r="Z101" i="10"/>
  <c r="W101" i="10"/>
  <c r="T101" i="10"/>
  <c r="X100" i="10"/>
  <c r="Z100" i="10" s="1"/>
  <c r="U100" i="10"/>
  <c r="W100" i="10" s="1"/>
  <c r="R100" i="10"/>
  <c r="T100" i="10" s="1"/>
  <c r="S99" i="10"/>
  <c r="T99" i="10" s="1"/>
  <c r="T98" i="10"/>
  <c r="V98" i="10" s="1"/>
  <c r="W98" i="10" s="1"/>
  <c r="Y98" i="10" s="1"/>
  <c r="Z98" i="10" s="1"/>
  <c r="S97" i="10"/>
  <c r="T97" i="10" s="1"/>
  <c r="S96" i="10"/>
  <c r="T96" i="10" s="1"/>
  <c r="Z95" i="10"/>
  <c r="W95" i="10"/>
  <c r="T95" i="10"/>
  <c r="Z94" i="10"/>
  <c r="V94" i="10"/>
  <c r="W94" i="10" s="1"/>
  <c r="T94" i="10"/>
  <c r="Z93" i="10"/>
  <c r="W93" i="10"/>
  <c r="T93" i="10"/>
  <c r="Z92" i="10"/>
  <c r="W92" i="10"/>
  <c r="T92" i="10"/>
  <c r="Z91" i="10"/>
  <c r="W91" i="10"/>
  <c r="T91" i="10"/>
  <c r="S90" i="10"/>
  <c r="T90" i="10" s="1"/>
  <c r="Z89" i="10"/>
  <c r="W89" i="10"/>
  <c r="T89" i="10"/>
  <c r="Z88" i="10"/>
  <c r="W88" i="10"/>
  <c r="T88" i="10"/>
  <c r="Z87" i="10"/>
  <c r="W87" i="10"/>
  <c r="T87" i="10"/>
  <c r="Z86" i="10"/>
  <c r="W86" i="10"/>
  <c r="T86" i="10"/>
  <c r="Z85" i="10"/>
  <c r="U85" i="10"/>
  <c r="W85" i="10" s="1"/>
  <c r="T85" i="10"/>
  <c r="Z84" i="10"/>
  <c r="W84" i="10"/>
  <c r="T84" i="10"/>
  <c r="X83" i="10"/>
  <c r="Z83" i="10" s="1"/>
  <c r="U83" i="10"/>
  <c r="W83" i="10" s="1"/>
  <c r="R83" i="10"/>
  <c r="Z82" i="10"/>
  <c r="W82" i="10"/>
  <c r="T82" i="10"/>
  <c r="Z81" i="10"/>
  <c r="W81" i="10"/>
  <c r="T81" i="10"/>
  <c r="V80" i="10"/>
  <c r="Y80" i="10" s="1"/>
  <c r="T80" i="10"/>
  <c r="S79" i="10"/>
  <c r="T79" i="10" s="1"/>
  <c r="S78" i="10"/>
  <c r="T78" i="10" s="1"/>
  <c r="Z77" i="10"/>
  <c r="W77" i="10"/>
  <c r="T77" i="10"/>
  <c r="Z76" i="10"/>
  <c r="W76" i="10"/>
  <c r="T76" i="10"/>
  <c r="Z75" i="10"/>
  <c r="W75" i="10"/>
  <c r="T75" i="10"/>
  <c r="Y74" i="10"/>
  <c r="Z74" i="10" s="1"/>
  <c r="V74" i="10"/>
  <c r="W74" i="10" s="1"/>
  <c r="S74" i="10"/>
  <c r="T74" i="10" s="1"/>
  <c r="Z69" i="10"/>
  <c r="W69" i="10"/>
  <c r="T69" i="10"/>
  <c r="Z68" i="10"/>
  <c r="W68" i="10"/>
  <c r="T68" i="10"/>
  <c r="Z66" i="10"/>
  <c r="W66" i="10"/>
  <c r="T66" i="10"/>
  <c r="Z65" i="10"/>
  <c r="W65" i="10"/>
  <c r="T65" i="10"/>
  <c r="Z64" i="10"/>
  <c r="W64" i="10"/>
  <c r="T64" i="10"/>
  <c r="Z63" i="10"/>
  <c r="W63" i="10"/>
  <c r="T63" i="10"/>
  <c r="Z62" i="10"/>
  <c r="W62" i="10"/>
  <c r="T62" i="10"/>
  <c r="Z61" i="10"/>
  <c r="W61" i="10"/>
  <c r="T61" i="10"/>
  <c r="Z60" i="10"/>
  <c r="W60" i="10"/>
  <c r="T60" i="10"/>
  <c r="Z59" i="10"/>
  <c r="W59" i="10"/>
  <c r="T59" i="10"/>
  <c r="Z58" i="10"/>
  <c r="W58" i="10"/>
  <c r="T58" i="10"/>
  <c r="Z57" i="10"/>
  <c r="W57" i="10"/>
  <c r="T57" i="10"/>
  <c r="Z56" i="10"/>
  <c r="W56" i="10"/>
  <c r="T56" i="10"/>
  <c r="Z55" i="10"/>
  <c r="W55" i="10"/>
  <c r="T55" i="10"/>
  <c r="Z54" i="10"/>
  <c r="W54" i="10"/>
  <c r="T54" i="10"/>
  <c r="Z53" i="10"/>
  <c r="W53" i="10"/>
  <c r="T53" i="10"/>
  <c r="Z52" i="10"/>
  <c r="W52" i="10"/>
  <c r="T52" i="10"/>
  <c r="Z51" i="10"/>
  <c r="W51" i="10"/>
  <c r="R51" i="10"/>
  <c r="T51" i="10" s="1"/>
  <c r="Z50" i="10"/>
  <c r="W50" i="10"/>
  <c r="T50" i="10"/>
  <c r="Z49" i="10"/>
  <c r="W49" i="10"/>
  <c r="T49" i="10"/>
  <c r="Z48" i="10"/>
  <c r="W48" i="10"/>
  <c r="T48" i="10"/>
  <c r="Z47" i="10"/>
  <c r="W47" i="10"/>
  <c r="T47" i="10"/>
  <c r="Z46" i="10"/>
  <c r="W46" i="10"/>
  <c r="T46" i="10"/>
  <c r="Z45" i="10"/>
  <c r="W45" i="10"/>
  <c r="T45" i="10"/>
  <c r="Z44" i="10"/>
  <c r="W44" i="10"/>
  <c r="T44" i="10"/>
  <c r="Z43" i="10"/>
  <c r="W43" i="10"/>
  <c r="T43" i="10"/>
  <c r="Z42" i="10"/>
  <c r="W42" i="10"/>
  <c r="T42" i="10"/>
  <c r="Z41" i="10"/>
  <c r="W41" i="10"/>
  <c r="T41" i="10"/>
  <c r="Z40" i="10"/>
  <c r="W40" i="10"/>
  <c r="T40" i="10"/>
  <c r="Z39" i="10"/>
  <c r="W39" i="10"/>
  <c r="R39" i="10"/>
  <c r="T39" i="10" s="1"/>
  <c r="Z38" i="10"/>
  <c r="W38" i="10"/>
  <c r="T38" i="10"/>
  <c r="Z37" i="10"/>
  <c r="W37" i="10"/>
  <c r="T37" i="10"/>
  <c r="Z36" i="10"/>
  <c r="W36" i="10"/>
  <c r="T36" i="10"/>
  <c r="Z35" i="10"/>
  <c r="W35" i="10"/>
  <c r="T35" i="10"/>
  <c r="Z34" i="10"/>
  <c r="W34" i="10"/>
  <c r="T34" i="10"/>
  <c r="Z33" i="10"/>
  <c r="W33" i="10"/>
  <c r="T33" i="10"/>
  <c r="Z32" i="10"/>
  <c r="W32" i="10"/>
  <c r="T32" i="10"/>
  <c r="Z31" i="10"/>
  <c r="W31" i="10"/>
  <c r="T31" i="10"/>
  <c r="Z30" i="10"/>
  <c r="W30" i="10"/>
  <c r="T30" i="10"/>
  <c r="Z29" i="10"/>
  <c r="W29" i="10"/>
  <c r="T29" i="10"/>
  <c r="Z28" i="10"/>
  <c r="W28" i="10"/>
  <c r="T28" i="10"/>
  <c r="Z27" i="10"/>
  <c r="W27" i="10"/>
  <c r="T27" i="10"/>
  <c r="Z26" i="10"/>
  <c r="W26" i="10"/>
  <c r="T26" i="10"/>
  <c r="Z25" i="10"/>
  <c r="W25" i="10"/>
  <c r="T25" i="10"/>
  <c r="Z24" i="10"/>
  <c r="W24" i="10"/>
  <c r="T24" i="10"/>
  <c r="Z23" i="10"/>
  <c r="W23" i="10"/>
  <c r="T23" i="10"/>
  <c r="Z22" i="10"/>
  <c r="W22" i="10"/>
  <c r="T22" i="10"/>
  <c r="Z21" i="10"/>
  <c r="W21" i="10"/>
  <c r="T21" i="10"/>
  <c r="Z20" i="10"/>
  <c r="W20" i="10"/>
  <c r="T20" i="10"/>
  <c r="Z19" i="10"/>
  <c r="W19" i="10"/>
  <c r="T19" i="10"/>
  <c r="Z18" i="10"/>
  <c r="W18" i="10"/>
  <c r="T18" i="10"/>
  <c r="Z17" i="10"/>
  <c r="W17" i="10"/>
  <c r="T17" i="10"/>
  <c r="Z16" i="10"/>
  <c r="W16" i="10"/>
  <c r="T16" i="10"/>
  <c r="Z15" i="10"/>
  <c r="W15" i="10"/>
  <c r="T15" i="10"/>
  <c r="Z14" i="10"/>
  <c r="W14" i="10"/>
  <c r="T14" i="10"/>
  <c r="Z13" i="10"/>
  <c r="W13" i="10"/>
  <c r="T13" i="10"/>
  <c r="Z12" i="10"/>
  <c r="W12" i="10"/>
  <c r="T12" i="10"/>
  <c r="Z11" i="10"/>
  <c r="W11" i="10"/>
  <c r="T11" i="10"/>
  <c r="Z10" i="10"/>
  <c r="W10" i="10"/>
  <c r="T10" i="10"/>
  <c r="Z9" i="10"/>
  <c r="W9" i="10"/>
  <c r="T9" i="10"/>
  <c r="Z8" i="10"/>
  <c r="W8" i="10"/>
  <c r="T8" i="10"/>
  <c r="X7" i="10"/>
  <c r="Z7" i="10" s="1"/>
  <c r="U7" i="10"/>
  <c r="W7" i="10" s="1"/>
  <c r="R7" i="10"/>
  <c r="T7" i="10" s="1"/>
  <c r="Z6" i="10"/>
  <c r="W6" i="10"/>
  <c r="T6" i="10"/>
  <c r="T73" i="10" s="1"/>
  <c r="AA73" i="10" s="1"/>
  <c r="Z5" i="10"/>
  <c r="W5" i="10"/>
  <c r="T5" i="10"/>
  <c r="Z4" i="10"/>
  <c r="W4" i="10"/>
  <c r="T4" i="10"/>
  <c r="Z3" i="10"/>
  <c r="W3" i="10"/>
  <c r="T3" i="10"/>
  <c r="AA67" i="10" l="1"/>
  <c r="AH67" i="1"/>
  <c r="AE67" i="1"/>
  <c r="AA51" i="10"/>
  <c r="AD51" i="10" s="1"/>
  <c r="AA81" i="10"/>
  <c r="AA89" i="10"/>
  <c r="AA95" i="10"/>
  <c r="AA88" i="10"/>
  <c r="AA94" i="10"/>
  <c r="AA7" i="10"/>
  <c r="AA15" i="10"/>
  <c r="AA23" i="10"/>
  <c r="AA31" i="10"/>
  <c r="AA39" i="10"/>
  <c r="AA47" i="10"/>
  <c r="AA55" i="10"/>
  <c r="AA63" i="10"/>
  <c r="AA10" i="10"/>
  <c r="AD10" i="10" s="1"/>
  <c r="AA18" i="10"/>
  <c r="AD18" i="10" s="1"/>
  <c r="AA26" i="10"/>
  <c r="AA34" i="10"/>
  <c r="AA42" i="10"/>
  <c r="AA50" i="10"/>
  <c r="AA58" i="10"/>
  <c r="AA66" i="10"/>
  <c r="AA86" i="10"/>
  <c r="AA100" i="10"/>
  <c r="AA43" i="10"/>
  <c r="AA76" i="10"/>
  <c r="AA84" i="10"/>
  <c r="AA3" i="10"/>
  <c r="AA11" i="10"/>
  <c r="AA19" i="10"/>
  <c r="AA27" i="10"/>
  <c r="AA35" i="10"/>
  <c r="AA59" i="10"/>
  <c r="AA68" i="10"/>
  <c r="AA93" i="10"/>
  <c r="AA14" i="10"/>
  <c r="AA22" i="10"/>
  <c r="AA30" i="10"/>
  <c r="AA38" i="10"/>
  <c r="AA46" i="10"/>
  <c r="AA54" i="10"/>
  <c r="AA62" i="10"/>
  <c r="AA75" i="10"/>
  <c r="AA82" i="10"/>
  <c r="AA85" i="10"/>
  <c r="AA87" i="10"/>
  <c r="AA92" i="10"/>
  <c r="AA25" i="10"/>
  <c r="AA33" i="10"/>
  <c r="AA41" i="10"/>
  <c r="AA49" i="10"/>
  <c r="AD49" i="10" s="1"/>
  <c r="AA57" i="10"/>
  <c r="AA65" i="10"/>
  <c r="AA4" i="10"/>
  <c r="AA8" i="10"/>
  <c r="AA12" i="10"/>
  <c r="AA16" i="10"/>
  <c r="AA20" i="10"/>
  <c r="AA24" i="10"/>
  <c r="AA28" i="10"/>
  <c r="AA32" i="10"/>
  <c r="AA36" i="10"/>
  <c r="AA40" i="10"/>
  <c r="AA44" i="10"/>
  <c r="AA48" i="10"/>
  <c r="AA52" i="10"/>
  <c r="AA56" i="10"/>
  <c r="AA60" i="10"/>
  <c r="AA64" i="10"/>
  <c r="AD64" i="10" s="1"/>
  <c r="AA69" i="10"/>
  <c r="AA77" i="10"/>
  <c r="AA91" i="10"/>
  <c r="AA98" i="10"/>
  <c r="AA5" i="10"/>
  <c r="AA9" i="10"/>
  <c r="AA13" i="10"/>
  <c r="AD13" i="10" s="1"/>
  <c r="AA17" i="10"/>
  <c r="AA21" i="10"/>
  <c r="AA29" i="10"/>
  <c r="AA37" i="10"/>
  <c r="AA45" i="10"/>
  <c r="AA53" i="10"/>
  <c r="AD53" i="10" s="1"/>
  <c r="AA61" i="10"/>
  <c r="AA74" i="10"/>
  <c r="AA102" i="10"/>
  <c r="AA101" i="10"/>
  <c r="AA6" i="10"/>
  <c r="T71" i="10"/>
  <c r="W70" i="10"/>
  <c r="Z71" i="10"/>
  <c r="V97" i="10"/>
  <c r="W97" i="10" s="1"/>
  <c r="Y97" i="10" s="1"/>
  <c r="Z97" i="10" s="1"/>
  <c r="V90" i="10"/>
  <c r="W90" i="10" s="1"/>
  <c r="V96" i="10"/>
  <c r="W96" i="10" s="1"/>
  <c r="Y96" i="10" s="1"/>
  <c r="Z96" i="10" s="1"/>
  <c r="Z72" i="10"/>
  <c r="Z70" i="10"/>
  <c r="W71" i="10"/>
  <c r="Y103" i="10"/>
  <c r="Z103" i="10" s="1"/>
  <c r="AA103" i="10" s="1"/>
  <c r="V78" i="10"/>
  <c r="T70" i="10"/>
  <c r="Z80" i="10"/>
  <c r="T72" i="10"/>
  <c r="W72" i="10"/>
  <c r="V79" i="10"/>
  <c r="W79" i="10" s="1"/>
  <c r="V99" i="10"/>
  <c r="W99" i="10" s="1"/>
  <c r="Y99" i="10" s="1"/>
  <c r="Z99" i="10" s="1"/>
  <c r="W80" i="10"/>
  <c r="S83" i="10"/>
  <c r="T83" i="10" s="1"/>
  <c r="AA83" i="10" s="1"/>
  <c r="AD102" i="1"/>
  <c r="AD89" i="1"/>
  <c r="AD88" i="1"/>
  <c r="AD86" i="1"/>
  <c r="AD82" i="1"/>
  <c r="AD81" i="1"/>
  <c r="AD60" i="1"/>
  <c r="AD41" i="1"/>
  <c r="AD38" i="1"/>
  <c r="AD34" i="1"/>
  <c r="AD30" i="1"/>
  <c r="AD29" i="1"/>
  <c r="AD28" i="1"/>
  <c r="AD22" i="1"/>
  <c r="AD3" i="1"/>
  <c r="AA102" i="1"/>
  <c r="AA89" i="1"/>
  <c r="AA88" i="1"/>
  <c r="AA86" i="1"/>
  <c r="AA82" i="1"/>
  <c r="AA81" i="1"/>
  <c r="AA60" i="1"/>
  <c r="AA41" i="1"/>
  <c r="AA38" i="1"/>
  <c r="AA34" i="1"/>
  <c r="AA30" i="1"/>
  <c r="AA29" i="1"/>
  <c r="AA28" i="1"/>
  <c r="AA22" i="1"/>
  <c r="AA3" i="1"/>
  <c r="X102" i="1"/>
  <c r="X89" i="1"/>
  <c r="X88" i="1"/>
  <c r="X87" i="1"/>
  <c r="X86" i="1"/>
  <c r="X82" i="1"/>
  <c r="X81" i="1"/>
  <c r="X60" i="1"/>
  <c r="X41" i="1"/>
  <c r="X38" i="1"/>
  <c r="X34" i="1"/>
  <c r="X30" i="1"/>
  <c r="X29" i="1"/>
  <c r="X28" i="1"/>
  <c r="X22" i="1"/>
  <c r="X3" i="1"/>
  <c r="U102" i="1"/>
  <c r="U89" i="1"/>
  <c r="U88" i="1"/>
  <c r="U87" i="1"/>
  <c r="U86" i="1"/>
  <c r="U82" i="1"/>
  <c r="U81" i="1"/>
  <c r="U60" i="1"/>
  <c r="U41" i="1"/>
  <c r="U38" i="1"/>
  <c r="U34" i="1"/>
  <c r="U30" i="1"/>
  <c r="U29" i="1"/>
  <c r="U28" i="1"/>
  <c r="U22" i="1"/>
  <c r="U3" i="1"/>
  <c r="R102" i="1"/>
  <c r="R89" i="1"/>
  <c r="R88" i="1"/>
  <c r="R87" i="1"/>
  <c r="R86" i="1"/>
  <c r="R82" i="1"/>
  <c r="R81" i="1"/>
  <c r="R80" i="1"/>
  <c r="R60" i="1"/>
  <c r="R41" i="1"/>
  <c r="R38" i="1"/>
  <c r="R34" i="1"/>
  <c r="R30" i="1"/>
  <c r="R29" i="1"/>
  <c r="R28" i="1"/>
  <c r="R22" i="1"/>
  <c r="AA95" i="1"/>
  <c r="AA93" i="1"/>
  <c r="AA92" i="1"/>
  <c r="AA91" i="1"/>
  <c r="X95" i="1"/>
  <c r="X94" i="1"/>
  <c r="X93" i="1"/>
  <c r="X92" i="1"/>
  <c r="X91" i="1"/>
  <c r="U95" i="1"/>
  <c r="U93" i="1"/>
  <c r="U92" i="1"/>
  <c r="U91" i="1"/>
  <c r="R95" i="1"/>
  <c r="R94" i="1"/>
  <c r="R93" i="1"/>
  <c r="R92" i="1"/>
  <c r="R91" i="1"/>
  <c r="AD76" i="1"/>
  <c r="AA76" i="1"/>
  <c r="X76" i="1"/>
  <c r="U76" i="1"/>
  <c r="R76" i="1"/>
  <c r="R68" i="1"/>
  <c r="AD40" i="1"/>
  <c r="AD37" i="1"/>
  <c r="AD35" i="1"/>
  <c r="AD32" i="1"/>
  <c r="AD27" i="1"/>
  <c r="AD25" i="1"/>
  <c r="AD21" i="1"/>
  <c r="AA21" i="1"/>
  <c r="AA85" i="1"/>
  <c r="AA40" i="1"/>
  <c r="AA37" i="1"/>
  <c r="AA35" i="1"/>
  <c r="AA32" i="1"/>
  <c r="AA27" i="1"/>
  <c r="AA25" i="1"/>
  <c r="R10" i="1"/>
  <c r="X66" i="1"/>
  <c r="X63" i="1"/>
  <c r="X56" i="1"/>
  <c r="X18" i="1"/>
  <c r="X16" i="1"/>
  <c r="X10" i="1"/>
  <c r="U66" i="1"/>
  <c r="U63" i="1"/>
  <c r="U56" i="1"/>
  <c r="U18" i="1"/>
  <c r="U16" i="1"/>
  <c r="U10" i="1"/>
  <c r="R18" i="1"/>
  <c r="R66" i="1"/>
  <c r="R63" i="1"/>
  <c r="R56" i="1"/>
  <c r="R16" i="1"/>
  <c r="X69" i="1"/>
  <c r="X68" i="1"/>
  <c r="X62" i="1"/>
  <c r="X61" i="1"/>
  <c r="X58" i="1"/>
  <c r="X48" i="1"/>
  <c r="X46" i="1"/>
  <c r="X44" i="1"/>
  <c r="X42" i="1"/>
  <c r="X39" i="1"/>
  <c r="X36" i="1"/>
  <c r="X33" i="1"/>
  <c r="X31" i="1"/>
  <c r="X26" i="1"/>
  <c r="X24" i="1"/>
  <c r="X23" i="1"/>
  <c r="X20" i="1"/>
  <c r="X15" i="1"/>
  <c r="X12" i="1"/>
  <c r="X9" i="1"/>
  <c r="X4" i="1"/>
  <c r="U84" i="1"/>
  <c r="U75" i="1"/>
  <c r="U69" i="1"/>
  <c r="U68" i="1"/>
  <c r="U62" i="1"/>
  <c r="U61" i="1"/>
  <c r="U58" i="1"/>
  <c r="U48" i="1"/>
  <c r="U46" i="1"/>
  <c r="U44" i="1"/>
  <c r="U42" i="1"/>
  <c r="U39" i="1"/>
  <c r="U36" i="1"/>
  <c r="U33" i="1"/>
  <c r="U31" i="1"/>
  <c r="U26" i="1"/>
  <c r="U24" i="1"/>
  <c r="U23" i="1"/>
  <c r="U20" i="1"/>
  <c r="U15" i="1"/>
  <c r="U12" i="1"/>
  <c r="U9" i="1"/>
  <c r="U4" i="1"/>
  <c r="R69" i="1"/>
  <c r="R62" i="1"/>
  <c r="R61" i="1"/>
  <c r="R58" i="1"/>
  <c r="R48" i="1"/>
  <c r="R46" i="1"/>
  <c r="R44" i="1"/>
  <c r="R42" i="1"/>
  <c r="R36" i="1"/>
  <c r="R33" i="1"/>
  <c r="R31" i="1"/>
  <c r="R26" i="1"/>
  <c r="R24" i="1"/>
  <c r="R23" i="1"/>
  <c r="R20" i="1"/>
  <c r="R15" i="1"/>
  <c r="R12" i="1"/>
  <c r="R9" i="1"/>
  <c r="R4" i="1"/>
  <c r="R75" i="1"/>
  <c r="U6" i="1"/>
  <c r="R6" i="1"/>
  <c r="R73" i="1" s="1"/>
  <c r="V100" i="1"/>
  <c r="X100" i="1" s="1"/>
  <c r="S100" i="1"/>
  <c r="U100" i="1" s="1"/>
  <c r="P100" i="1"/>
  <c r="R100" i="1" s="1"/>
  <c r="Q74" i="1"/>
  <c r="R74" i="1" s="1"/>
  <c r="W74" i="1"/>
  <c r="X74" i="1" s="1"/>
  <c r="T74" i="1"/>
  <c r="U74" i="1" s="1"/>
  <c r="S85" i="1"/>
  <c r="U85" i="1" s="1"/>
  <c r="V7" i="1"/>
  <c r="X7" i="1" s="1"/>
  <c r="S7" i="1"/>
  <c r="U7" i="1" s="1"/>
  <c r="P7" i="1"/>
  <c r="R7" i="1" s="1"/>
  <c r="C32" i="6"/>
  <c r="D32" i="6"/>
  <c r="E32" i="6"/>
  <c r="F32" i="6"/>
  <c r="G32" i="6"/>
  <c r="B32" i="6"/>
  <c r="AA73" i="1"/>
  <c r="X85" i="1"/>
  <c r="R85" i="1"/>
  <c r="D19" i="8"/>
  <c r="D23" i="8" s="1"/>
  <c r="C14" i="5"/>
  <c r="H5" i="4"/>
  <c r="H9" i="4"/>
  <c r="H7" i="4"/>
  <c r="H6" i="4"/>
  <c r="H4" i="4"/>
  <c r="H8" i="4"/>
  <c r="D20" i="8" l="1"/>
  <c r="D21" i="8" s="1"/>
  <c r="W108" i="10"/>
  <c r="T108" i="10"/>
  <c r="Z108" i="10"/>
  <c r="AA96" i="10"/>
  <c r="AA80" i="10"/>
  <c r="AA72" i="10"/>
  <c r="Y79" i="10"/>
  <c r="Z79" i="10" s="1"/>
  <c r="AA79" i="10" s="1"/>
  <c r="AA71" i="10"/>
  <c r="AA99" i="10"/>
  <c r="AA97" i="10"/>
  <c r="AA70" i="10"/>
  <c r="Y90" i="10"/>
  <c r="Z90" i="10" s="1"/>
  <c r="AA90" i="10" s="1"/>
  <c r="AE28" i="1"/>
  <c r="AE85" i="1"/>
  <c r="AE81" i="1"/>
  <c r="AE76" i="1"/>
  <c r="T104" i="10"/>
  <c r="Y78" i="10"/>
  <c r="Z78" i="10" s="1"/>
  <c r="W78" i="10"/>
  <c r="R72" i="1"/>
  <c r="H10" i="4"/>
  <c r="AH85" i="1"/>
  <c r="AD55" i="1"/>
  <c r="AA55" i="1"/>
  <c r="AB87" i="1"/>
  <c r="AD87" i="1" s="1"/>
  <c r="Y87" i="1"/>
  <c r="AA87" i="1" s="1"/>
  <c r="H10" i="5"/>
  <c r="H11" i="5"/>
  <c r="H6" i="5"/>
  <c r="H5" i="5"/>
  <c r="H7" i="5"/>
  <c r="H8" i="5"/>
  <c r="C16" i="5"/>
  <c r="H9" i="5"/>
  <c r="H4" i="5"/>
  <c r="C15" i="5"/>
  <c r="AA108" i="10" l="1"/>
  <c r="Z109" i="10" s="1"/>
  <c r="AA78" i="10"/>
  <c r="T106" i="10"/>
  <c r="Z104" i="10"/>
  <c r="Z106" i="10" s="1"/>
  <c r="W104" i="10"/>
  <c r="W106" i="10" s="1"/>
  <c r="T80" i="1"/>
  <c r="AB83" i="1"/>
  <c r="AD83" i="1" s="1"/>
  <c r="Y83" i="1"/>
  <c r="AA83" i="1" s="1"/>
  <c r="V83" i="1"/>
  <c r="X83" i="1" s="1"/>
  <c r="S83" i="1"/>
  <c r="U83" i="1" s="1"/>
  <c r="P83" i="1"/>
  <c r="Q83" i="1" s="1"/>
  <c r="R83" i="1" s="1"/>
  <c r="T109" i="10" l="1"/>
  <c r="W109" i="10"/>
  <c r="AA104" i="10"/>
  <c r="AA106" i="10" s="1"/>
  <c r="T107" i="10" s="1"/>
  <c r="W80" i="1"/>
  <c r="U80" i="1"/>
  <c r="AE83" i="1"/>
  <c r="AH83" i="1"/>
  <c r="AA84" i="1"/>
  <c r="AA100" i="1"/>
  <c r="X84" i="1"/>
  <c r="R84" i="1"/>
  <c r="AA112" i="10" l="1"/>
  <c r="AE84" i="1"/>
  <c r="Z107" i="10"/>
  <c r="W107" i="10"/>
  <c r="Z80" i="1"/>
  <c r="X80" i="1"/>
  <c r="AH80" i="1" s="1"/>
  <c r="AE88" i="1"/>
  <c r="AE82" i="1"/>
  <c r="AE87" i="1"/>
  <c r="AE86" i="1"/>
  <c r="AE89" i="1"/>
  <c r="AH82" i="1"/>
  <c r="AH81" i="1"/>
  <c r="AH86" i="1"/>
  <c r="AH88" i="1"/>
  <c r="AH84" i="1"/>
  <c r="X49" i="1"/>
  <c r="AA80" i="1" l="1"/>
  <c r="AC80" i="1"/>
  <c r="AD80" i="1" s="1"/>
  <c r="AH29" i="1"/>
  <c r="AE29" i="1"/>
  <c r="AE30" i="1"/>
  <c r="AD57" i="1"/>
  <c r="AA57" i="1"/>
  <c r="X57" i="1"/>
  <c r="U57" i="1"/>
  <c r="R57" i="1"/>
  <c r="AB101" i="1"/>
  <c r="AD101" i="1" s="1"/>
  <c r="Y101" i="1"/>
  <c r="AA101" i="1" s="1"/>
  <c r="X101" i="1"/>
  <c r="U101" i="1"/>
  <c r="R101" i="1"/>
  <c r="X21" i="1"/>
  <c r="U21" i="1"/>
  <c r="R21" i="1"/>
  <c r="R103" i="1"/>
  <c r="AD100" i="1"/>
  <c r="AE100" i="1" s="1"/>
  <c r="Q99" i="1"/>
  <c r="R99" i="1" s="1"/>
  <c r="R98" i="1"/>
  <c r="Q97" i="1"/>
  <c r="R97" i="1" s="1"/>
  <c r="Q96" i="1"/>
  <c r="R96" i="1" s="1"/>
  <c r="AD95" i="1"/>
  <c r="AE95" i="1" s="1"/>
  <c r="AD94" i="1"/>
  <c r="Z94" i="1"/>
  <c r="AA94" i="1" s="1"/>
  <c r="T94" i="1"/>
  <c r="U94" i="1" s="1"/>
  <c r="AD93" i="1"/>
  <c r="AE93" i="1" s="1"/>
  <c r="AD92" i="1"/>
  <c r="AE92" i="1" s="1"/>
  <c r="AD91" i="1"/>
  <c r="AE91" i="1" s="1"/>
  <c r="Q90" i="1"/>
  <c r="R90" i="1" s="1"/>
  <c r="Q79" i="1"/>
  <c r="R79" i="1" s="1"/>
  <c r="Q78" i="1"/>
  <c r="R78" i="1" s="1"/>
  <c r="AD77" i="1"/>
  <c r="AA77" i="1"/>
  <c r="X77" i="1"/>
  <c r="U77" i="1"/>
  <c r="R77" i="1"/>
  <c r="AD75" i="1"/>
  <c r="AA75" i="1"/>
  <c r="X75" i="1"/>
  <c r="AD74" i="1"/>
  <c r="AA74" i="1"/>
  <c r="AD69" i="1"/>
  <c r="AA69" i="1"/>
  <c r="AD68" i="1"/>
  <c r="AA68" i="1"/>
  <c r="AD66" i="1"/>
  <c r="AA66" i="1"/>
  <c r="AD65" i="1"/>
  <c r="AA65" i="1"/>
  <c r="X65" i="1"/>
  <c r="U65" i="1"/>
  <c r="R65" i="1"/>
  <c r="AD64" i="1"/>
  <c r="AA64" i="1"/>
  <c r="X64" i="1"/>
  <c r="U64" i="1"/>
  <c r="R64" i="1"/>
  <c r="AD63" i="1"/>
  <c r="AA63" i="1"/>
  <c r="AD62" i="1"/>
  <c r="AA62" i="1"/>
  <c r="AD61" i="1"/>
  <c r="AA61" i="1"/>
  <c r="AD59" i="1"/>
  <c r="AA59" i="1"/>
  <c r="X59" i="1"/>
  <c r="U59" i="1"/>
  <c r="R59" i="1"/>
  <c r="AD58" i="1"/>
  <c r="AA58" i="1"/>
  <c r="AD56" i="1"/>
  <c r="AA56" i="1"/>
  <c r="X55" i="1"/>
  <c r="U55" i="1"/>
  <c r="R55" i="1"/>
  <c r="AD54" i="1"/>
  <c r="AA54" i="1"/>
  <c r="X54" i="1"/>
  <c r="U54" i="1"/>
  <c r="R54" i="1"/>
  <c r="AD53" i="1"/>
  <c r="AA53" i="1"/>
  <c r="X53" i="1"/>
  <c r="U53" i="1"/>
  <c r="R53" i="1"/>
  <c r="AD52" i="1"/>
  <c r="AA52" i="1"/>
  <c r="X52" i="1"/>
  <c r="U52" i="1"/>
  <c r="R52" i="1"/>
  <c r="AD51" i="1"/>
  <c r="AA51" i="1"/>
  <c r="X51" i="1"/>
  <c r="U51" i="1"/>
  <c r="P51" i="1"/>
  <c r="R51" i="1" s="1"/>
  <c r="AD50" i="1"/>
  <c r="AA50" i="1"/>
  <c r="X50" i="1"/>
  <c r="U50" i="1"/>
  <c r="R50" i="1"/>
  <c r="AD49" i="1"/>
  <c r="AA49" i="1"/>
  <c r="U49" i="1"/>
  <c r="R49" i="1"/>
  <c r="AD48" i="1"/>
  <c r="AA48" i="1"/>
  <c r="AD47" i="1"/>
  <c r="AA47" i="1"/>
  <c r="X47" i="1"/>
  <c r="U47" i="1"/>
  <c r="R47" i="1"/>
  <c r="AD46" i="1"/>
  <c r="AA46" i="1"/>
  <c r="AD45" i="1"/>
  <c r="AA45" i="1"/>
  <c r="X45" i="1"/>
  <c r="U45" i="1"/>
  <c r="R45" i="1"/>
  <c r="AD44" i="1"/>
  <c r="AA44" i="1"/>
  <c r="AD43" i="1"/>
  <c r="AA43" i="1"/>
  <c r="X43" i="1"/>
  <c r="U43" i="1"/>
  <c r="R43" i="1"/>
  <c r="AD42" i="1"/>
  <c r="AA42" i="1"/>
  <c r="X40" i="1"/>
  <c r="U40" i="1"/>
  <c r="R40" i="1"/>
  <c r="AD39" i="1"/>
  <c r="AA39" i="1"/>
  <c r="P39" i="1"/>
  <c r="R39" i="1" s="1"/>
  <c r="X37" i="1"/>
  <c r="U37" i="1"/>
  <c r="R37" i="1"/>
  <c r="AD36" i="1"/>
  <c r="AA36" i="1"/>
  <c r="X35" i="1"/>
  <c r="U35" i="1"/>
  <c r="R35" i="1"/>
  <c r="AD33" i="1"/>
  <c r="AA33" i="1"/>
  <c r="X32" i="1"/>
  <c r="U32" i="1"/>
  <c r="R32" i="1"/>
  <c r="AD31" i="1"/>
  <c r="AA31" i="1"/>
  <c r="X27" i="1"/>
  <c r="U27" i="1"/>
  <c r="R27" i="1"/>
  <c r="AD26" i="1"/>
  <c r="AA26" i="1"/>
  <c r="U25" i="1"/>
  <c r="R25" i="1"/>
  <c r="AD24" i="1"/>
  <c r="AA24" i="1"/>
  <c r="AD23" i="1"/>
  <c r="AA23" i="1"/>
  <c r="AD20" i="1"/>
  <c r="AA20" i="1"/>
  <c r="AD19" i="1"/>
  <c r="AA19" i="1"/>
  <c r="X19" i="1"/>
  <c r="U19" i="1"/>
  <c r="R19" i="1"/>
  <c r="AD18" i="1"/>
  <c r="AA18" i="1"/>
  <c r="AD17" i="1"/>
  <c r="AA17" i="1"/>
  <c r="X17" i="1"/>
  <c r="U17" i="1"/>
  <c r="R17" i="1"/>
  <c r="AD16" i="1"/>
  <c r="AA16" i="1"/>
  <c r="AD15" i="1"/>
  <c r="AA15" i="1"/>
  <c r="AD14" i="1"/>
  <c r="AA14" i="1"/>
  <c r="X14" i="1"/>
  <c r="U14" i="1"/>
  <c r="R14" i="1"/>
  <c r="AD13" i="1"/>
  <c r="AA13" i="1"/>
  <c r="X13" i="1"/>
  <c r="U13" i="1"/>
  <c r="R13" i="1"/>
  <c r="AD12" i="1"/>
  <c r="AA12" i="1"/>
  <c r="AD11" i="1"/>
  <c r="AA11" i="1"/>
  <c r="X11" i="1"/>
  <c r="U11" i="1"/>
  <c r="R11" i="1"/>
  <c r="AD10" i="1"/>
  <c r="AA10" i="1"/>
  <c r="AD9" i="1"/>
  <c r="AA9" i="1"/>
  <c r="AD8" i="1"/>
  <c r="AA8" i="1"/>
  <c r="X8" i="1"/>
  <c r="U8" i="1"/>
  <c r="R8" i="1"/>
  <c r="AD7" i="1"/>
  <c r="AA7" i="1"/>
  <c r="AD6" i="1"/>
  <c r="AA6" i="1"/>
  <c r="X6" i="1"/>
  <c r="AD5" i="1"/>
  <c r="AA5" i="1"/>
  <c r="X5" i="1"/>
  <c r="U5" i="1"/>
  <c r="R5" i="1"/>
  <c r="AD4" i="1"/>
  <c r="AA4" i="1"/>
  <c r="AE4" i="1" l="1"/>
  <c r="AE23" i="1"/>
  <c r="AE27" i="1"/>
  <c r="AE9" i="1"/>
  <c r="AK9" i="1" s="1"/>
  <c r="AE5" i="1"/>
  <c r="AE101" i="1"/>
  <c r="AE26" i="1"/>
  <c r="AE94" i="1"/>
  <c r="AE77" i="1"/>
  <c r="AE80" i="1"/>
  <c r="U71" i="1"/>
  <c r="X71" i="1"/>
  <c r="R71" i="1"/>
  <c r="U72" i="1"/>
  <c r="X72" i="1"/>
  <c r="AE10" i="1"/>
  <c r="AI10" i="1" s="1"/>
  <c r="X70" i="1"/>
  <c r="R70" i="1"/>
  <c r="U70" i="1"/>
  <c r="AE62" i="1"/>
  <c r="AE7" i="1"/>
  <c r="AI7" i="1" s="1"/>
  <c r="AE31" i="1"/>
  <c r="AE39" i="1"/>
  <c r="AE15" i="1"/>
  <c r="AE24" i="1"/>
  <c r="AE36" i="1"/>
  <c r="AE68" i="1"/>
  <c r="AI68" i="1" s="1"/>
  <c r="AE74" i="1"/>
  <c r="AE48" i="1"/>
  <c r="AE61" i="1"/>
  <c r="AE42" i="1"/>
  <c r="AE58" i="1"/>
  <c r="AE69" i="1"/>
  <c r="AI69" i="1" s="1"/>
  <c r="AE75" i="1"/>
  <c r="AE44" i="1"/>
  <c r="AE12" i="1"/>
  <c r="AE20" i="1"/>
  <c r="AE33" i="1"/>
  <c r="Z72" i="1"/>
  <c r="AA72" i="1" s="1"/>
  <c r="AC72" i="1"/>
  <c r="AD72" i="1" s="1"/>
  <c r="AE102" i="1"/>
  <c r="AH32" i="1"/>
  <c r="AE32" i="1"/>
  <c r="AH31" i="1"/>
  <c r="AE38" i="1"/>
  <c r="AH38" i="1"/>
  <c r="AE55" i="1"/>
  <c r="AH18" i="1"/>
  <c r="AH8" i="1"/>
  <c r="AH27" i="1"/>
  <c r="AH19" i="1"/>
  <c r="AH63" i="1"/>
  <c r="AH17" i="1"/>
  <c r="AH9" i="1"/>
  <c r="AH23" i="1"/>
  <c r="AH7" i="1"/>
  <c r="AH4" i="1"/>
  <c r="AH26" i="1"/>
  <c r="AH5" i="1"/>
  <c r="AH21" i="1"/>
  <c r="AH66" i="1"/>
  <c r="AE17" i="1"/>
  <c r="AE46" i="1"/>
  <c r="AI46" i="1" s="1"/>
  <c r="AE51" i="1"/>
  <c r="AI51" i="1" s="1"/>
  <c r="AE60" i="1"/>
  <c r="AE41" i="1"/>
  <c r="AE49" i="1"/>
  <c r="AI49" i="1" s="1"/>
  <c r="AE54" i="1"/>
  <c r="AE63" i="1"/>
  <c r="AE14" i="1"/>
  <c r="AE35" i="1"/>
  <c r="AE43" i="1"/>
  <c r="AE56" i="1"/>
  <c r="AE65" i="1"/>
  <c r="AE66" i="1"/>
  <c r="AE57" i="1"/>
  <c r="AE45" i="1"/>
  <c r="AE50" i="1"/>
  <c r="AE6" i="1"/>
  <c r="AE13" i="1"/>
  <c r="AI13" i="1" s="1"/>
  <c r="AE22" i="1"/>
  <c r="AE34" i="1"/>
  <c r="AE64" i="1"/>
  <c r="AI64" i="1" s="1"/>
  <c r="AE21" i="1"/>
  <c r="AE18" i="1"/>
  <c r="AI18" i="1" s="1"/>
  <c r="AE47" i="1"/>
  <c r="AE52" i="1"/>
  <c r="AE11" i="1"/>
  <c r="AE19" i="1"/>
  <c r="AE40" i="1"/>
  <c r="AE53" i="1"/>
  <c r="AI53" i="1" s="1"/>
  <c r="AE8" i="1"/>
  <c r="AE16" i="1"/>
  <c r="AE37" i="1"/>
  <c r="AE59" i="1"/>
  <c r="T90" i="1"/>
  <c r="T98" i="1"/>
  <c r="U98" i="1" s="1"/>
  <c r="AH57" i="1"/>
  <c r="AH95" i="1"/>
  <c r="AH91" i="1"/>
  <c r="AH40" i="1"/>
  <c r="AH49" i="1"/>
  <c r="AH65" i="1"/>
  <c r="AH13" i="1"/>
  <c r="AH22" i="1"/>
  <c r="AH3" i="1"/>
  <c r="AH75" i="1"/>
  <c r="AH59" i="1"/>
  <c r="AH35" i="1"/>
  <c r="AH10" i="1"/>
  <c r="AH52" i="1"/>
  <c r="AH43" i="1"/>
  <c r="AH46" i="1"/>
  <c r="AH37" i="1"/>
  <c r="AH20" i="1"/>
  <c r="AH54" i="1"/>
  <c r="AH56" i="1"/>
  <c r="AH33" i="1"/>
  <c r="AH45" i="1"/>
  <c r="AH47" i="1"/>
  <c r="AH62" i="1"/>
  <c r="AH76" i="1"/>
  <c r="AA71" i="1"/>
  <c r="AH14" i="1"/>
  <c r="AH50" i="1"/>
  <c r="AH55" i="1"/>
  <c r="AH60" i="1"/>
  <c r="AH74" i="1"/>
  <c r="AH92" i="1"/>
  <c r="AH16" i="1"/>
  <c r="AH94" i="1"/>
  <c r="AH11" i="1"/>
  <c r="AH48" i="1"/>
  <c r="AH58" i="1"/>
  <c r="AH64" i="1"/>
  <c r="AH68" i="1"/>
  <c r="AC70" i="1"/>
  <c r="AD70" i="1" s="1"/>
  <c r="AH6" i="1"/>
  <c r="Z70" i="1"/>
  <c r="AA70" i="1" s="1"/>
  <c r="AH12" i="1"/>
  <c r="AH36" i="1"/>
  <c r="AH61" i="1"/>
  <c r="AH77" i="1"/>
  <c r="AH15" i="1"/>
  <c r="AH42" i="1"/>
  <c r="AH93" i="1"/>
  <c r="AH44" i="1"/>
  <c r="AH53" i="1"/>
  <c r="T78" i="1"/>
  <c r="U78" i="1" s="1"/>
  <c r="T79" i="1"/>
  <c r="T99" i="1"/>
  <c r="U99" i="1" s="1"/>
  <c r="W99" i="1" s="1"/>
  <c r="X99" i="1" s="1"/>
  <c r="Z99" i="1" s="1"/>
  <c r="AH39" i="1"/>
  <c r="AH100" i="1"/>
  <c r="AH51" i="1"/>
  <c r="X25" i="1"/>
  <c r="AE25" i="1" s="1"/>
  <c r="T97" i="1"/>
  <c r="U97" i="1" s="1"/>
  <c r="W97" i="1" s="1"/>
  <c r="X97" i="1" s="1"/>
  <c r="Z97" i="1" s="1"/>
  <c r="AH69" i="1"/>
  <c r="T96" i="1"/>
  <c r="U96" i="1" s="1"/>
  <c r="W96" i="1" s="1"/>
  <c r="X96" i="1" s="1"/>
  <c r="Z96" i="1" s="1"/>
  <c r="T103" i="1"/>
  <c r="U103" i="1" s="1"/>
  <c r="W103" i="1" s="1"/>
  <c r="X103" i="1" s="1"/>
  <c r="Z103" i="1" s="1"/>
  <c r="AA103" i="1" s="1"/>
  <c r="AC103" i="1" s="1"/>
  <c r="AD103" i="1" s="1"/>
  <c r="AH24" i="1"/>
  <c r="AE3" i="1"/>
  <c r="AE103" i="1" l="1"/>
  <c r="U79" i="1"/>
  <c r="W79" i="1" s="1"/>
  <c r="U90" i="1"/>
  <c r="W90" i="1" s="1"/>
  <c r="X90" i="1" s="1"/>
  <c r="Z90" i="1" s="1"/>
  <c r="AA90" i="1" s="1"/>
  <c r="AE72" i="1"/>
  <c r="AE70" i="1"/>
  <c r="AE71" i="1"/>
  <c r="R104" i="1"/>
  <c r="AE73" i="1"/>
  <c r="AH73" i="1"/>
  <c r="AH72" i="1"/>
  <c r="AH25" i="1"/>
  <c r="AH103" i="1"/>
  <c r="AH99" i="1"/>
  <c r="AH97" i="1"/>
  <c r="AH96" i="1"/>
  <c r="W98" i="1"/>
  <c r="X98" i="1" s="1"/>
  <c r="AH98" i="1" s="1"/>
  <c r="AA96" i="1"/>
  <c r="AA99" i="1"/>
  <c r="AC99" i="1" s="1"/>
  <c r="AD99" i="1" s="1"/>
  <c r="AA97" i="1"/>
  <c r="AC97" i="1" s="1"/>
  <c r="AD97" i="1" s="1"/>
  <c r="AH70" i="1"/>
  <c r="AH71" i="1"/>
  <c r="W78" i="1"/>
  <c r="X78" i="1" s="1"/>
  <c r="U104" i="1" l="1"/>
  <c r="AH90" i="1"/>
  <c r="X79" i="1"/>
  <c r="X104" i="1" s="1"/>
  <c r="AH105" i="1"/>
  <c r="D6" i="8" s="1"/>
  <c r="D7" i="8" s="1"/>
  <c r="AE97" i="1"/>
  <c r="AC96" i="1"/>
  <c r="AD96" i="1" s="1"/>
  <c r="AE96" i="1" s="1"/>
  <c r="AE99" i="1"/>
  <c r="Z98" i="1"/>
  <c r="AA98" i="1" s="1"/>
  <c r="AC90" i="1"/>
  <c r="AH78" i="1"/>
  <c r="Z78" i="1"/>
  <c r="AA78" i="1" s="1"/>
  <c r="AH79" i="1" l="1"/>
  <c r="Z79" i="1"/>
  <c r="AD90" i="1"/>
  <c r="AE90" i="1" s="1"/>
  <c r="D9" i="8"/>
  <c r="D11" i="8" s="1"/>
  <c r="AC98" i="1"/>
  <c r="AD98" i="1" s="1"/>
  <c r="AE98" i="1" s="1"/>
  <c r="AH104" i="1"/>
  <c r="AC78" i="1"/>
  <c r="AD78" i="1" s="1"/>
  <c r="AA79" i="1" l="1"/>
  <c r="AE78" i="1"/>
  <c r="AA104" i="1" l="1"/>
  <c r="AC79" i="1"/>
  <c r="AD79" i="1" s="1"/>
  <c r="AD104" i="1" s="1"/>
  <c r="AE79" i="1" l="1"/>
  <c r="AE104" i="1" s="1"/>
  <c r="AE112" i="1" s="1"/>
</calcChain>
</file>

<file path=xl/sharedStrings.xml><?xml version="1.0" encoding="utf-8"?>
<sst xmlns="http://schemas.openxmlformats.org/spreadsheetml/2006/main" count="3403" uniqueCount="454">
  <si>
    <t>MODULO</t>
  </si>
  <si>
    <t>INTERVENCION HM</t>
  </si>
  <si>
    <t>CATEGORIA DEL GASTO</t>
  </si>
  <si>
    <t>LINEAS ESTRATEGICAS</t>
  </si>
  <si>
    <t xml:space="preserve">META </t>
  </si>
  <si>
    <t>OBJETIVOS ESTRATEGICOS</t>
  </si>
  <si>
    <t>INDICADORES DEL PENM</t>
  </si>
  <si>
    <t>INDICADORES FM</t>
  </si>
  <si>
    <t xml:space="preserve">TAREAS </t>
  </si>
  <si>
    <t>TECNICO RESPONSABLE</t>
  </si>
  <si>
    <t>FF/LE</t>
  </si>
  <si>
    <t xml:space="preserve">ENTIDAD FINANCIADORA </t>
  </si>
  <si>
    <t>UNIDAD DE MEDIDA</t>
  </si>
  <si>
    <t>CANTIDAD</t>
  </si>
  <si>
    <t>COSTO UNITARIO</t>
  </si>
  <si>
    <t>Año 1</t>
  </si>
  <si>
    <t>Año 2</t>
  </si>
  <si>
    <t>Año 3</t>
  </si>
  <si>
    <t>Año 4</t>
  </si>
  <si>
    <t>Año 5</t>
  </si>
  <si>
    <t>TOTAL 5 AÑOS</t>
  </si>
  <si>
    <t>RESPONSABLE DE COMPRA
BIEN O SERVICIO</t>
  </si>
  <si>
    <t xml:space="preserve">OBSERVACIONES 
QUE? CUANTO?, DONDE? PARA QUE? COMO? PARA QUIEN? 
</t>
  </si>
  <si>
    <t>TOTAL 3 AÑOS FM</t>
  </si>
  <si>
    <t>Poblaciones clave y vulnerables – TB/TB-DR</t>
  </si>
  <si>
    <t>Poblaciones clave y vulnerables – Personas en prisiones, cárceles o centros de detención</t>
  </si>
  <si>
    <t xml:space="preserve">1.Abordaje oportuno de la TB en grupos de mayor riesgo y vulnerabilidad con enfoque centrado en la persona. </t>
  </si>
  <si>
    <t>Meta 1.8  Disminuir Número de casos de TB (todas las formas) notificados entre los privados de libertad</t>
  </si>
  <si>
    <t xml:space="preserve">1.2- Detectar tempranamente los casos de TB sensible y farmacorresistente priorizando a los grupos de mayor riesgo y vulnerabilidad, a través de biología molecular rápida y tecnología diagnostica aplicando IA (RX). </t>
  </si>
  <si>
    <t>Número de casos de TB (todas las formas) notificados entre los privados de libertad</t>
  </si>
  <si>
    <t>KVP-1 Número de personas con tuberculosis (todas las formas) notificadas entre personas privadas de libertad; *solo incluye pacientes nuevos y recaídas.</t>
  </si>
  <si>
    <t>Contratación de  seguro y mantenimiento Preventivos y correctivos para vehiculos y camión movil de rayos X</t>
  </si>
  <si>
    <t>Lic. Gilma de Romero</t>
  </si>
  <si>
    <t xml:space="preserve">MINSAL </t>
  </si>
  <si>
    <t>MINSAL</t>
  </si>
  <si>
    <t>C/U</t>
  </si>
  <si>
    <t>TCP-6a Número de casos de tuberculosis (en todas sus formas) notificados entre reclusos</t>
  </si>
  <si>
    <t>Contratación mantenimiento Preventivos y correctivos para equipo de rayos X de la unidad movil</t>
  </si>
  <si>
    <t>Lic. William Cardoza</t>
  </si>
  <si>
    <t>FM-L1</t>
  </si>
  <si>
    <t>FONDO MUNDIAL</t>
  </si>
  <si>
    <t>PNUD</t>
  </si>
  <si>
    <t>Contratación de empresa para que brinde mantenimiento preventivo y correctivo al equipo de Rayos X de la Movil. Se plantea solicitar 2 servicios al año.</t>
  </si>
  <si>
    <t>BRECHA FINANCIERA</t>
  </si>
  <si>
    <t>Diagnóstico, tratamiento y atención de la TB</t>
  </si>
  <si>
    <t>Tamizaje y diagnóstico de la tuberculosis</t>
  </si>
  <si>
    <t>Meta 1: Detectar al menos el 90% de la incidencia de TB estimados por la OMS.</t>
  </si>
  <si>
    <t>1.1- Detectar oportunamente las personas con tuberculosis presuntivas, priorizando las poblaciones de mayor riesgo y vulnerabilidad.</t>
  </si>
  <si>
    <t>Tasa de incidencia de la tuberculosis (por cada 100.000 habitantes)</t>
  </si>
  <si>
    <t>TB I-2 Tasa de incidencia de la tuberculosis por 100.000 habitantes.</t>
  </si>
  <si>
    <t xml:space="preserve">Compra de equipo de video endoscopía bronquial . </t>
  </si>
  <si>
    <t xml:space="preserve">Dra. Maritza Melgar. </t>
  </si>
  <si>
    <t>FONDO MUNDIAL-UQD</t>
  </si>
  <si>
    <t>OPS</t>
  </si>
  <si>
    <t xml:space="preserve">2. Diagnóstico y tratamiento de pacientes con tuberculosis sensible y tuberculosis drogorresistente </t>
  </si>
  <si>
    <t>2.4. - Realizar vigilancia permanente de los casos de TB drogorresistente, a través de pruebas moleculares en el SNIS para tratamiento oportuno.</t>
  </si>
  <si>
    <t>Porcentaje de casos notificados de TB-RR y/o TB-MDR confirmados bacteriológicamente como proporción de todos los casos estimados de TB-RR y/o TB-MDR.</t>
  </si>
  <si>
    <t>DRTB-2 Número de personas con TB-RR y/o TB-MDR confirmada notificado.</t>
  </si>
  <si>
    <t>Reuniones mensuales de comité multisectorial de TB Farmacorresistente para la vigilancias y monitoreo de la TB resistente y seguimiento de casos , seguimiento a evaluacion internacional del Comité de Luz verde de la Region de las Americas  en el cual participan ISSS, MINSAL, Dirección General de Centros Penales. (12 reuniones con 16 participantes a un costo de $25.00 por personas , costo total por reunión de $400.00).</t>
  </si>
  <si>
    <t>Compra de  placas para radiografias de torax.</t>
  </si>
  <si>
    <t xml:space="preserve">Se comprara placas radiograficas para la toma de  radiografias a privados de libertad con sospecha de padecer tuberculosis pulmonar o extrapulmonar de los  centros penales,  asi como a otros grupos de riesgo social que sean  identificados con Tuberculosis presuntiva ; se plantean comprar 19,000 placas a un costo de $2.50 cada placa.                   </t>
  </si>
  <si>
    <t>Poblaciones clave y vulnerables - Otros</t>
  </si>
  <si>
    <t xml:space="preserve">Meta 1.4: Tamizar con glucometría al menos al 85% del total de los casos notificados de TB. </t>
  </si>
  <si>
    <t>Porcentaje de casos de TB todas las formas tamizadas con glucometría.</t>
  </si>
  <si>
    <t>KVP-2 Número de personas con tuberculosis (todas las formas) notificadas entre las poblaciones clave/grupos de alto riesgo (distintos de personas privadas de libertad); *solo incluye pacientes nuevos y recaídas.</t>
  </si>
  <si>
    <t xml:space="preserve">Compra de  500 glucometros a un costo de $ 48,50, 600 lancetas (caja de 100) a un costo de $ 36,09, y 700 tiras reactivas (caja por 50 unidades) a un costo de $ 30,00  para  establecimientos de salud y Centros Penales     </t>
  </si>
  <si>
    <t>Dr. Mario Soto</t>
  </si>
  <si>
    <t>cada una</t>
  </si>
  <si>
    <t xml:space="preserve">Se tiene programado comprar glucometro. Tiras reactivas y lancetas para los años 1, 3 y 5. Para los años 2 y 4 solo se contempla la compra de tiras reactivas y lancetas, los cuales serán distribuids en los estableciimentos de salud de primer y segundo nivel de atención y en centros penitenciarios  </t>
  </si>
  <si>
    <t>Poblaciones clave y vulnerables - Poblaciones móviles (migrantes/refugiados/desplazados internos)</t>
  </si>
  <si>
    <t xml:space="preserve">3.Políticas de salud, intersectorialidad, multisectorialidad, estrategia de participación comunitaria e interculturalidad. </t>
  </si>
  <si>
    <t>Meta 3.1: Incremento de la proporción de casos de TB notificados y derivados por el SNIS, ONG/OSC, municipalidades, comunidad y otros actores y aliados en la lucha contra la TB.</t>
  </si>
  <si>
    <t xml:space="preserve">3.1- Fortalecer la coordinación interinstitucional utilizando los modelos y herramientas legalmente establecidas. </t>
  </si>
  <si>
    <t>Número de casos de tuberculosis confirmados bacteriológicamente (microscopía, pruebas moleculares y cultivo) en el período a evaluar</t>
  </si>
  <si>
    <t xml:space="preserve">Lic. Bessy Velis </t>
  </si>
  <si>
    <t>compra de termos keen seller para conservación y transporte de muestras de las OSI (clínicas de las Oficinas Sanitarias Internacionales) al establecimiento de salud mas cercano.</t>
  </si>
  <si>
    <t>Atención de salud</t>
  </si>
  <si>
    <t>Contratación de servicios de alimentacion para realizar una capacitación y una evaluación con 25 personas por zonas fronterizas (3 grupos de 25 personas cada 6 meses) para evaluar semestralmente al personal médico y enfermería de los establecimientos de salud interfronterizos, para la identificación y seguimiento  de SR y casos en personas retornadas y migrantes y población móvil.</t>
  </si>
  <si>
    <t>Eliminar los obstáculos relacionados con los derechos humanos y el género que dificultan el acceso a los servicios de tuberculosis</t>
  </si>
  <si>
    <t>Asegurar servicios de tuberculosis centrados en las personas y basados en los derechos en los establecimientos de salud</t>
  </si>
  <si>
    <t xml:space="preserve">Meta 1.7: Implementar campañas informativas y educativas para aumentar el conocimiento en la población sobre contenidos de TB, prioritariamente en grupos de mayor riesgo y vulnerabilidad. </t>
  </si>
  <si>
    <t>Número de campañas informativas y educativas desarrolladas en las cinco regiones de salud</t>
  </si>
  <si>
    <t>TB I-2 : Tasa de incidencia de TB por 100 000 habitantes.</t>
  </si>
  <si>
    <t>Contratación de una empresa para el diseño y/o  difusión de mensajes a través de medios digitales</t>
  </si>
  <si>
    <t>Lic Claudia Solorzano</t>
  </si>
  <si>
    <t>Es necesario contratar servicios de publicidad para desarrollar una campaña de informacion y educacion a través de medios de comunicacion colectiva (radio, televisión, medios digitales) con la finalidad de llevar mensajes de tuberculosis a la poblacion, principalmente a la que no demanda atención en los establecimientos de salud y asi captar sintomaticos respiratorios para realizar diagnosticos precoz y tratamiento oportuno de casos. Ver anexo plan de compras. Los años 4 y 5 quedan como brecha financiera.</t>
  </si>
  <si>
    <t>L1</t>
  </si>
  <si>
    <t>Tasa de incidencia de tuberculosis por cada 100,000 habitantes (&amp;)</t>
  </si>
  <si>
    <t xml:space="preserve">TB I-2 Tasa de incidencia de la tuberculosis por 100.000 habitantes. </t>
  </si>
  <si>
    <t>TB/VIH</t>
  </si>
  <si>
    <t>TB/VIH - Tamizaje, realización de pruebas y diagnóstico</t>
  </si>
  <si>
    <t xml:space="preserve">Meta 4: Tasa de mortalidad por TB menor a 0.9 por 100,000 habitantes. </t>
  </si>
  <si>
    <t>1.4- Disminuir la mortalidad por coinfección TB/VIH a través de intervenciones oportunas.</t>
  </si>
  <si>
    <t>Tasa de mortalidad por tuberculosis (por cada 100.000 habitantes)</t>
  </si>
  <si>
    <t>TB I-3: Tasa de mortalidad de la TB por 100 000 habitantes</t>
  </si>
  <si>
    <t>Dr. Gilberto Ayala</t>
  </si>
  <si>
    <t xml:space="preserve">Se comprara 7500 pruebas TB LAM Ag, por años por 3 años, se distribuira en los 30 hospitales de la Red Nacional, como prueba de apoyo diagnóstica de TB en pacientes VIH, con comorbilidad o de dificil diagnóstico. 4,000 pruebas , a un costo de $10.00 </t>
  </si>
  <si>
    <t>2.6. aumentar la capacidad instalada para realizar cultivos, tipificación,, resistencia y control de calidad de drogas</t>
  </si>
  <si>
    <t>Número de casos de tuberculosis confirmados bacteriológicamente (microscopía, pruebas moleculares y cultivo)en el periodo a evaluar</t>
  </si>
  <si>
    <t>Lic. Rene Guevara</t>
  </si>
  <si>
    <t>FM-L2</t>
  </si>
  <si>
    <t>La compra de frascos para la captación de sintomatico respiratorio de nivel nacional incluyendo a centros penales.  
Los frascos es el insumo necesario para poder obtener las muestras de las personas sugestivas de TB endenpendiente del metodo diagnostico y control de trataniento a utilizar; ya sea basiloscopia, prueba molecular o cultivo. Se utilizaran en grupos de mayor riesgos PPL.</t>
  </si>
  <si>
    <t>2.2.- Acceso universal a pruebas de sensibilidad; tamizaje sistemático de los contactos y grupos de alto riesgo para la TB-Drogorresistente.</t>
  </si>
  <si>
    <t>Porcentaje de casos de TB con resultados de pruebas de sensibilidad a drogas (PSD) al menos para Rifampicina, entre el número total de casos notificados (nuevos y previamente tratados) en el mismo año</t>
  </si>
  <si>
    <t xml:space="preserve">DRTB-2  Número de personas con TB-RR y/o TB-MDR confirmada 
notificado. </t>
  </si>
  <si>
    <t>Compra de reactivos, consumibles para MGIT y realización del control de calidad a traves de paneles. (ANEXO 1)</t>
  </si>
  <si>
    <t>Lic. Rene Guevara/ Yanira Melendez</t>
  </si>
  <si>
    <t>Recomendaciones de comité de Luz Verde y Organizacion Mundial de la Salud es la utilización de medios liquidos y de la vigilancia de la TB DR de primera y segunda linea; lo que se realizara a travez del equipo MGIT en el Labotatorio Nacional de Salud Pública  con la compra de los insumos correspondientes, en las personas de sospecha drogoresistencia.</t>
  </si>
  <si>
    <t>2.4. Realizar vigilancia permanente de la TB farmacorresistente a través de pruebas convencionales y moleculares en el SNIS para su tratamiento precoz.</t>
  </si>
  <si>
    <t xml:space="preserve">DRTB-6  Porcentaje de pacientes con tuberculosis y con resultado de PSF 
a la rifampicina entre el número total de pacientes notificados 
(nuevos y en retratamiento) durante el período de reporte. </t>
  </si>
  <si>
    <t xml:space="preserve">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como los PPL. </t>
  </si>
  <si>
    <t>Diagnóstico de la TB-DR/pruebas de sensibilidad a los fármacos (PSF)</t>
  </si>
  <si>
    <t>2.8 Mejora de la calidad y enfoques de los programas y la prestación de servicios.</t>
  </si>
  <si>
    <t xml:space="preserve">DRTB-1  Porcentaje de laboratorios de pruebas de sensibilidad a los 
fármacos que muestran un desempeño adecuado en lo que se 
refiere al aseguramiento externo de la calidad. </t>
  </si>
  <si>
    <t xml:space="preserve"> Adquisicion de servicio de importacion de Kits (paneles de proefiencia) para evaluacion externa de calidad.</t>
  </si>
  <si>
    <t>Dentro de la gestion de calidad la participacion de los Laboratorios Nacionales de Salud Publica, con los laboratorios supranacionales en el control de calidad a traves de paneles de proeficiencia permite tener respaldo tecnico administrativo para la realizacion de diferentes metodologias con resultados satisfactorios ante los Laboratorios Supranacionales.</t>
  </si>
  <si>
    <t>Compra de Kit de Xpert Check para equipos de pruebas moleculares para el diagnostico de TB y vigilancia de la TB/DR</t>
  </si>
  <si>
    <t>Los xpert Check , son para la calibracion de  los equipos de biologia molecular a nivel nacional, con lo que cumple la recomendación del fabircante y poder tener en funiconamiento cada modulo de los diferentes equipos.</t>
  </si>
  <si>
    <t>Diagnóstico, tratamiento y atención de la TB-DR</t>
  </si>
  <si>
    <t>DRTB-11  Porcentaje de pacientes con TB pre-XDR con resultado de PSF a drogas del grupo A distintos de las fluoroquinolonas entre el número total de pacientes con TB pre-XDR notificados (nuevos y en retratamiento) durante el período de reporte.</t>
  </si>
  <si>
    <t xml:space="preserve">Los cartucho xpert XDR permite realizar la vigilancia de la farmaco resistencia a medicamentos de primera y segunda line; asi cumplir la normativa, recomendaciones internacionales como estrategia fin de la TB, como una prioridad nacional para dar respuesta a indicadores contractuales.  Que seran utilizados en los hospitales de la RED a nivel Nacional. Se utilizaran en grupos de mayor riesgos PPL </t>
  </si>
  <si>
    <t>Los Modulos de los Equipos se dañan con el Tiempo de uso y es su necesario el cambio de ellos, para poder mantener una capacidad de respuesta ante la demanda de pruebas y lograr una productividad adecuada. Esto es a  nivel naciional . LOS PRIMEROS TRES AÑOS FONDO MUNDIAL, LOS ULTIMOS DOS AÑOS SE GESTIONARA CON MINSAL</t>
  </si>
  <si>
    <t xml:space="preserve">TB I-2 Tasa de incidencia de la tuberculosis por 100.000 habitantes.  </t>
  </si>
  <si>
    <t>Compra de Tubo cónico  polietileno pollipropileno, graduado, capacidad 50 mililitros, con tapon de rosca, Esteril, Empaque Individual</t>
  </si>
  <si>
    <t>Los tubos son utilizados en la realizacion de cultivo BAAR y purebas moleculares en la red de laboratotorios clinicos, incluyendo el LNSP. En estos se realizan dilusiones, concentracion, descontaminaciones de las muestras de las personas con TB presuntiva para el seguimiento de tratamiento y seguimiento de la vigilancia de la drogoresistencia.</t>
  </si>
  <si>
    <t>Meta 3.2: Operativizar la normativa institucional en prevención y control de TB en al menos el 90% de establecimientos del SNIS, y otros colaboradores en la lucha contra la TB.</t>
  </si>
  <si>
    <t>Porcentaje de servicios del Sistema Nacional Integrado de Salud, centros penales y organizaciones de la sociedad civil operativizando la Estrategia Fin de la TB</t>
  </si>
  <si>
    <t>FM-L3</t>
  </si>
  <si>
    <t>Evaluación semestral y anual del cumplimiento de indicadores epidemiologicos y contractuales a nivel de Regiones de Salud, SIBASIS, incluyendo otros proveedores de salud. Estas actividades  son una herramientoa indispensable para evaluar el cumplimiento de  los indicadores programaticos y financieros; de igual forma se hará de forma centralizada a nivel nacional, ya que en las evaluciones participan todo el equipo multidisciplinaria, sirve para asesoria tecnica, coordinaciones y toma de decisiones con los diferentes actores del Sistema Nacional Integrado de Salud.</t>
  </si>
  <si>
    <t>Servicios de alojamiento para el monitoreo de indicadores en los establecimeintos de salud de  las Regiones de Salud Oriental y Occidental</t>
  </si>
  <si>
    <t>Se contrataran servicios de alojamiento para personal técnico y motorista; con el objetivo de realizar jornadas de monitoreo y evaluación de actividades programáticas y Evaluaciones Nacionales,  que realicen en la zona Oriental y Occidental del país; en las cuales por motivo de distancia y tráfico a la salida y entrada a la capital; se vuelve necesario pernoctar en la zona de trabajo, para iniciar de forma temprana las actividades. Se plantean 125 servicios por año, con un monto de $60.00 por persona por noche.</t>
  </si>
  <si>
    <t xml:space="preserve">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t>
  </si>
  <si>
    <t>TBDT-3b  Porcentaje de pacientes notificados con todas las formas de 
tuberculosis (esto es, confirmada bacteriológicamente + 
diagnosticada clínicamente) aportados por proveedores ajenos al 
programa nacional de tuberculosis – sector público; *incluye 
únicamente pacientes nuevos y recaídas.</t>
  </si>
  <si>
    <t>Compra de servicio de telefonia movil</t>
  </si>
  <si>
    <t>Lic. Karla Sánchez</t>
  </si>
  <si>
    <t>El servicio de telefonía movil es de suma importancia para la Unidad de Prevención y Control de la Tuberculosis y Enfermedades Respiratorias (UPCTYER), ya que es gracias a este servicio que se da respuesta tanto técnica como a los pacientes que padecen de esta enfermedad. Con una comunicación constante y accesible, los técnicos de esta unidad pueden brindar respuesta desde cualquier punto del país, les da acceso tanto a llamadas como a aplicaciones de correo electrónico y videoconferencias, lo cual facilita el trabajo arduo que se realiza a diario para ejecutar las actividades y estrategias de este componente.</t>
  </si>
  <si>
    <t>Impresión de libros y formularios para el registro de la informacion primaria en los establecimientos del SNIS. Compra de insumos para área de imprenta incluye material educativo y audiovision para el control de la tuberculosis con enfoque intercultural</t>
  </si>
  <si>
    <t>Lic Bessy Velis / Lic. Yanira Chita</t>
  </si>
  <si>
    <t>En el caso de la UPCTYER, con este servicio se da respuesta a todos los indicadores del Plan Estratégico Nacional Multisectorial de la TB, ya que sirve como una herramienta para coordinar actividades, dar respuestas a casos de TB, supervisiones y monitoreos en las regiones de salud y hospitales, seguimiento a la ejecución de actividades, coordinación con otras áreas del ministerio, coordinar y brindar respuesta a otras entidades del Sistema Nacional Integrado de Salud (FOSALUD, ISSS, COSAM, ISBM, ISRI, DNM). Así también, comunicación constante con la Dirección General de Centros Penales, con quien se coordinan actividades, casos de TB, medicamento y otras actividades más. Incluyendo comunicación con entidades externas como la Organización Panamericana de la Salud (OPS), CICR y otras que se encuentran involucradas en las actividades que se realizan en la lucha contra la Tuberculosis.</t>
  </si>
  <si>
    <t>Dr. Mario Soto/Lic. Bessy Velis</t>
  </si>
  <si>
    <t xml:space="preserve">Se desarrollará un congreso nacional de TB, durante los años 2 y 3, en el cual participará personal operativo del SNIS, ONG y otros proveedores de salud públicos y privados (200 personas a un costo de $28.00 por persona como gasto de alimentación). El propósito es actualizar al personal operativo en la temática de la TB, dar a conocer resultados de estudios realizados, promover la implementacion de nuevas estrategias y experiencias exitosas a nivel operativo, entre otros. Ver anexo plan de compras. Activida que servira para socializar logros,resultados y cumplimiento tecnico juridio.Los años 4 y 5 quedan como brecha financiera. </t>
  </si>
  <si>
    <t>Compra de materiales para proporcionar a los participantes del congreso (maletines, memorias USB, bolígrafos).</t>
  </si>
  <si>
    <t>Lic Bessy Velis</t>
  </si>
  <si>
    <t>Se proporcionará a los participantes del congreso nacional de TB, (personal operativo del SNIS, ONG´s y otros proveedores de salud públicos y privados) de diferentes materiales, entre ellos:
maletines= $5,250.00, 
memorias USB = $1,750.00 
bolígrafos = $199.50 
Ver anexo plan de compras</t>
  </si>
  <si>
    <t>Colaboración con otros proveedores y sectores</t>
  </si>
  <si>
    <t>Colaboración con otros programas o sectores</t>
  </si>
  <si>
    <t xml:space="preserve">Meta 3.2: Expandir a otros municipios más la iniciativa de TB en Grandes Ciudades. </t>
  </si>
  <si>
    <t xml:space="preserve">3.3- 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t>
  </si>
  <si>
    <t>Número de municipios donde se está implementando la iniciativa de grandes ciudades</t>
  </si>
  <si>
    <t>Lic. Bessy Velis/Dr. Gilberto Ayala</t>
  </si>
  <si>
    <t xml:space="preserve"> Elaborar material educativo y promocionales para el desarrollo de actividades educativas dentro del marco de trabajo de la iniciativa TB en grandes Ciudades. Con el objetivo de  concientizar a cada comité municipal y sus comunidades para realizar el diagnóstico temprano y oportuno de la Tuberculosis y otras comorbilidades.  Incluye engaje TB, TB en pueblos indigenas y actividades con sociedad civil.</t>
  </si>
  <si>
    <t>Prevención de la TB/TB-DR</t>
  </si>
  <si>
    <t>Prevención y control de infecciones</t>
  </si>
  <si>
    <t>4.Fortalecimiento de sistema de salud, sistema de información, vigilancia e investigación, innovación tecnológica</t>
  </si>
  <si>
    <t>Meta 4.1: Aumentar la capacidad instalada de al menos el 5% anual de áreas de aislamiento para el control de infecciones en TB.</t>
  </si>
  <si>
    <t>4.1.   Implementar el plan nacional de control de infecciones de la tuberculosis en la red de servicios de salud.</t>
  </si>
  <si>
    <t>Porcentaje de establecimientos de salud en los que se readecuaron áreas de aislamiento para TB y aplican control de infecciones y medidas de bioseguridad</t>
  </si>
  <si>
    <t>Compra de Gabachas de tela para profesionales de laboratorio que realizan  baciloscopia.</t>
  </si>
  <si>
    <t>FM-L4</t>
  </si>
  <si>
    <t>La bioseguridad es parte fundamental del control de infecciones principalmente en areas de riesgo biologico principalmente en los laboratorios clinicos. Por normativa se recomienda el uso de gabachas a todo profesional del Laboratorio de Salud Publica.</t>
  </si>
  <si>
    <t xml:space="preserve">Meta 4.1: Aumentar al menos en un 5% anual los establecimientos de salud aplicando medidas de control de infecciones en TB. </t>
  </si>
  <si>
    <t>Compra de Respirador  de filtrado con certificado NIOSH N95 o superior, con dos sujetadores elasticos , adaptación hermetica facial sin valvula</t>
  </si>
  <si>
    <t>c/u</t>
  </si>
  <si>
    <t>se compraran respiradores para personal de la red de laboratorios de los diferentes niveles de atencion, como parte de control de  infeecciones y fortalecimiento en las medidas de bioseguridad, el uso del respeirador es recomendamendado para proteccion de los profesionales en el momento que realizan las tecnicas en las cuales siempre hay formaciones de aerosoles, que son las particulas infecciosas que son detenidas por las barreras de filtracion que traen los respiradores.</t>
  </si>
  <si>
    <t>TCP-6a Número de casos de tuberculosis (en todas sus formas) notificados entre privados de libertad</t>
  </si>
  <si>
    <t>Compra equipo de protección personal y brindar acompañamiento para los trabajadores de salud (respiradores N95 y mascarillas )</t>
  </si>
  <si>
    <t>Dr. Cristian Henriquez / Lic. Yanira Chita</t>
  </si>
  <si>
    <t>1</t>
  </si>
  <si>
    <t>Se realizara compra de equipos de proteccion personal como mascarillas, respiradores N95, gabachones, lentes y guantes entre otros insumos consumibles. Estos seran entregados al personal multidisciplinario de la DGCP,DGCI, PNC, como fortalecimiento de las medida de control de infecciones, proteccion respiratoria, bioseguridad con buenas prácticas en los laboratorios de centros penales. Para los años 4 y 5 existe una brecha que debe ser contemplado en los presupuestos del MJSP/ DGCP/ PNC.</t>
  </si>
  <si>
    <t>Gestión de programas</t>
  </si>
  <si>
    <t>Gestión de subvenciones</t>
  </si>
  <si>
    <t>Porcentaje de instituciones del Sistema Nacional Integrado de Salud aplicando y operativizando la normativa en los establecimientos de salud</t>
  </si>
  <si>
    <t>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</si>
  <si>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 xml:space="preserve">Compra de insumos de papeleria para el funcionamiento de la UPTYER </t>
  </si>
  <si>
    <t>Los insumos de papeleria son de importancia para el desarrollo de actividades diarias, como lo es la impresion de documentos, memorándums, y otros documentos que son necesarios para la coordinación de actividades.</t>
  </si>
  <si>
    <t xml:space="preserve">Compra de insumos informaticos y equipo para el funcionamiento de la UPTYER </t>
  </si>
  <si>
    <t>Los insumos informaticos consisten en los consumibles de todos los impresores de la unidad, y otros consumibles que apoyan en eld desarrollo de actividades de los técnicos, como para la limpieza de los equipos informáticos, periféricos: mouse y teclados.</t>
  </si>
  <si>
    <t xml:space="preserve">Meta 3.3: Fortalecer la estrategia de ENGAGE TB integrando a más ONG/OSC y otros actores en actividades comunitarias para la prevención y control de la tuberculosis. </t>
  </si>
  <si>
    <t>3.3- Continuar con la implementación de la estrategia ENGAGE TB de abordaje de control de la TB.</t>
  </si>
  <si>
    <t xml:space="preserve">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 </t>
  </si>
  <si>
    <t>Contratación de una empresa para el diseño,maquetación e impresión de  (1,200 rotafolios)</t>
  </si>
  <si>
    <t>Lic. Daniel Castro</t>
  </si>
  <si>
    <t>Contratación de empresa para diseño e impresión de 1,200 rotafolios sobre tuberculosis.</t>
  </si>
  <si>
    <t>Meta 4.2: Realizar al menos 3 estudios de investigación epidemiológica y/o operativa por parte del sector salud e instituciones formadoras de recursos humanos en salud</t>
  </si>
  <si>
    <t>4.4- Desarrollo y generación de conocimiento en la atención integral de la tuberculosis y de la investigación científica.</t>
  </si>
  <si>
    <t>Número de investigaciones epidemiológicas y/o operativas desarrolladas por parte del SNIS e instituciones formadoras de recursos humanos en salud</t>
  </si>
  <si>
    <t>Contratacion de una Institucion formadora de recursos para el desarrollo del Diplomado en Atencion Integral a la Tuberculosis.</t>
  </si>
  <si>
    <t>Para los 5 años se desarrollaran  un diplomado al año con financiamiento de proyecto Fondo Mundial , para la actualizaciòn y formaciòn de cuadros para el manejo clinico y programatico de la TB (estrategias de captación, detección, seguimiento y tratamiento) para los responsables de Programa de TB en niveles operativos del sector salud e instituciones formadoras de recursos.
Se incorporaran las instituciones formadoras de recursos en salud.</t>
  </si>
  <si>
    <t>TB/VIH - Intervenciones de colaboración</t>
  </si>
  <si>
    <t>4.6 Protección social a las familias afectadas por tuberculosis, con el fin de que la enfermedad no represente un costo catastrófico y DQR.</t>
  </si>
  <si>
    <t>Meta 3.1: Aplicar la estrategia Fin de Tuberculosis en el 100% de los participantes del SNIS y otros proveedores de salud.</t>
  </si>
  <si>
    <t>Porcentaje de RRHH fortalecido en el abordaje intercultural de la tuberculosis</t>
  </si>
  <si>
    <t>Compra de boletos aereos</t>
  </si>
  <si>
    <t>Compra de Boletos Aéreos para asistencia a reuniones Regionales  Internacionales, cursos, seminarios, congresos, delegaciones por parte de tecnicos multidiciplinarios para la presentaciòn de trabajo en diversos foros que trabajen en la respuesta Nacional de la lucha cotra la TB en la temetica de TB, TB VIH TB MDR, TB derechos Humanos, TB Genero, investigacion y otros como curso internacional de epidemiologia y control de la tuberculosis por la UNION, relacionados al cumplimiento de metas y objetivos del plan TB ya sean tecnicos administrativos o financieros. Incluye congresos Nacionales y capacitacion especializadas en paquetes informaticos</t>
  </si>
  <si>
    <t>Inscripciones viaticos y otros</t>
  </si>
  <si>
    <t>Pago de inscripciones, pago de cursos y/o capacitaciones, viaticos y otros para la participacion de los profesionales ya sea a nivel Nacional o Internacional.</t>
  </si>
  <si>
    <t>5.Transición, sostenibilidad y financiamiento</t>
  </si>
  <si>
    <t xml:space="preserve">3. Fortalecer el uso eficiente de los recursos existentes (eficiencia) </t>
  </si>
  <si>
    <t>Servicios de desaduanajes, fletes, seguros de bienes, y otros gastos relacionados por compras a traves del PNUD PAGO DE OVERHEAD PNUD
PAGO DE ISSS A PNUD</t>
  </si>
  <si>
    <t>UPCTYER</t>
  </si>
  <si>
    <t>FM-L5</t>
  </si>
  <si>
    <t>Pago del OVERHEAD a PNUD por las compras realizadas a traves de este organismo.</t>
  </si>
  <si>
    <t>Meta 5.1: Aumentar en al menos el 5% el gasto doméstico para dar respuesta a la lucha contra la tuberculosis.</t>
  </si>
  <si>
    <t>TB O-2a Tasa de éxito del tratamiento en todas las formas de tuberculosis, confirmada bacteriológicamente y con diagnóstico clínico, casos nuevos y recaídas.</t>
  </si>
  <si>
    <t>Servicios de desaduanajes, fletes, seguros de bienes, y otros gastos relacionados por compras a traves de OPS. PAGO DE OVERHEAD A OPS</t>
  </si>
  <si>
    <t>Servicios de desaduanajes, fletes, seguros de bienes, y otros gastos relacionados por compras a traves de OPS. No incluyen impuestos</t>
  </si>
  <si>
    <t>4.4 Reporte de información de vigilancia epidemiológica por el 100 % de las instituciones que integran el SNIS</t>
  </si>
  <si>
    <t>2.8 Mejora de la calidad y enfoques de los Programas y la prestación de los servicios</t>
  </si>
  <si>
    <t>Gastos de caja chica</t>
  </si>
  <si>
    <t>Caja Chica para gastos emergentes no previstos</t>
  </si>
  <si>
    <t>DRTB-6: Porcentaje de pacientes con tuberculosis y con resultado de PSF a la rifampicina entre el número total de pacientes notificados (nuevos y en retratamiento) durante el período de reporte.</t>
  </si>
  <si>
    <t>Pago Comité Luz Verde</t>
  </si>
  <si>
    <t>Pago a Comité de Luz Verde</t>
  </si>
  <si>
    <t>Aplicar la estrategia Fin de Tuberculosis en el 100% de los participantes del SNIS y otros proveedores de salud.</t>
  </si>
  <si>
    <t xml:space="preserve">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t>
  </si>
  <si>
    <t>Porcentaje de servicios del Sistema Nacional Integrado de Salud, Centros Penales y organizaciones de la sociedad civil operativizando la Estrategia Fin de la TB</t>
  </si>
  <si>
    <t>Universidades que Conforman el Comité Nacional de Docencia</t>
  </si>
  <si>
    <t>COMITÉ NACIONAL DE DOCENCIA</t>
  </si>
  <si>
    <t>Por Persona</t>
  </si>
  <si>
    <t>UNIVERSIDADES</t>
  </si>
  <si>
    <t xml:space="preserve">Se realizarán 8 reuniones virtuales o presenciales en el año (cada 2 meses), con los miembros integrantes del Comite Nacional de Docencia,  32 personas en cada reunión, durante 6 horas, a un costo de $ por reunión, valor del salario del recurso participante; obtenido de la siguiente manera: salario promedio mensual $,000.00 entre 30 días = $., entre 8 horas = $ x 6 horas = $ por persona x 32 personas = $ costo de cada reunión. $ 1,568.64 ( 32 a un costo de $ 8.17 por hora y la reunion es de una duracion de 6 hora)  </t>
  </si>
  <si>
    <t>Tratamiento, atención y apoyo para la TB</t>
  </si>
  <si>
    <t>META 1. Detectar al menos el 90% de la incidencia de casos de TB estimados por la OMS.</t>
  </si>
  <si>
    <t>1.2 Detectar precozmente casos de tuberculosis sensibles y resistente priorizando a los grupos vulnerables (PPL, trabajadores de salud, población infantil, adultos con enfermedades crónicas no trasmisibles, población migrantes, seguimiento de los contactos entre otros).</t>
  </si>
  <si>
    <t>Asignación de funciones a recursos humanos para la preveción, control y M&amp;E de la TB</t>
  </si>
  <si>
    <t>FS,7</t>
  </si>
  <si>
    <t>FOSALUD</t>
  </si>
  <si>
    <t>POR PERSONA</t>
  </si>
  <si>
    <t>Corresponde al pago de salarios de recursos humanos de FOSALUD que en su trabajo rutinario apoya las actividades e intervenciones para la prevencion y control de la Tuberculosis, referencias, captación de muestras y tratamiento de tuberculosis en el primer nivel de atención:  medicos y  enfermeras.</t>
  </si>
  <si>
    <t>Meta 5.1: Aumentar en al menos el 5% el gasto doméstico para dar respuesta a la lucha contra la tuberculosis. (antes Meta 12)</t>
  </si>
  <si>
    <t>5.2-Incrementar la financiación doméstica para la respuesta a la tuberculosis (financiación).</t>
  </si>
  <si>
    <t>Porcentaje de gastos en prevención y control de la tuberculosis por el MINSAL, en relación al gasto público total</t>
  </si>
  <si>
    <t>Pago de salarios y prestaciones de ley a personal de salud que brindan atenciones ambulatoria, atenciones hospitalarias, apoyo vital a clientes/población con sospecha o diagnosticada con TB, personal técnico y administrativo del Programa y MINSAL.</t>
  </si>
  <si>
    <t xml:space="preserve">Corresponde al pago de los recursos humanos que brindan del MINSAL atenciones  en: consulta externa (por TB pulmonar, extrapulmonar y Sintomáticos Respiratorios) y regiones de salud; acciones de búsqueda de sintomáticos respiratorios, TAES institucional y comunitario; visita domiciliar, consejerías, sesiones educativas, entre otras, estimado en la informacion según MEGA TB 2022, pagina 31 ,Tabla 4. Gasto en tuberculosis según entidades y categorías de gasto. Año 2022. Estimado para los 5 años, con la sumatoria de los dos rubros mas un 5% de aumento por escalafón a empleados que perciben un salario menor a los $3000.00 , y con el mismo aumento  por cada año empezando en 2025. </t>
  </si>
  <si>
    <t>Compra de productos farmaceuticos, medicamentos, insumos médicos y pruebas diagnóstico.</t>
  </si>
  <si>
    <t>Corresponde a la compra institucional MINSAL de productos de salud,  productos farmaceuticos y pruebas diagnosticas estimado en la informacion según MEGA TB 2022, paginas 31,Tabla 4. Gasto público en tuberculosis según categorías de gasto y fuentes de financiamiento 2022. Estimado para los 5 años, con la sumatoria de los dos rubros mas un 2% de aumento por inflación, y con el mismo aumento  por cada año empezando en 2025. El calculo incluye un $1,000,000.00 adicional, que se gestionarán para la ejecución de planes contingenciales y de abordaje de situeaciones emergentes contempladas en el Plan de Riesgo.</t>
  </si>
  <si>
    <t>Planificación  y administración y Monitoreo y evaluación  para la mejora en el trabajo en prevención y control de TB.</t>
  </si>
  <si>
    <t>Corresponde a inversión institucional en Monitoreo y evaluación ($150,836.00) y Planificación y administación ($827,801.00), estimado en la informacion según MEGA TB 2022, paginas 29 y 30 ,Tabla 3. Gasto público en tuberculosis según categorías de gasto y fuentes de financiamiento 2022. La sumatoria de los dos rubros mas un 2% de aumento por inflación, y con el mismo aumento  por cada año empezando en 2025.</t>
  </si>
  <si>
    <t>Meta 2: Porcentaje de éxito del tratamiento para casos de TB &gt;92%.</t>
  </si>
  <si>
    <t>2.5-Proporcionar tratamiento oportuno a todas las personas con TB sensible y drogorresistente para alcanzar la curación.</t>
  </si>
  <si>
    <t>Meta 2: Porcentaje de éxito del tratamiento para TB &gt;92%.</t>
  </si>
  <si>
    <t>TB O-2a: Tasa de éxito del tratamiento en todas las formas de tuberculosis- confirmados bacteriológicamente y con diagnóstico clínico, casos nuevos y recaídas</t>
  </si>
  <si>
    <t>Compra de productos Farmacéuticos 
Tratamiento para los pacientes diagnosticados en los distintos centros de atencion del ISSS.</t>
  </si>
  <si>
    <t>ISSS,2</t>
  </si>
  <si>
    <t xml:space="preserve">ISSS </t>
  </si>
  <si>
    <t>Monto total</t>
  </si>
  <si>
    <t>ISSS</t>
  </si>
  <si>
    <t>Corresponde al costo de compra de medicamento antifimico de primera y segunda linea para el tratamiento de TB, derechohabientes del ISSS.</t>
  </si>
  <si>
    <t xml:space="preserve">2.1-- Continuar el proceso de control avanzado para la eliminación de la tuberculosis como problema de salud pública, con la implementación de intervenciones eficaces. </t>
  </si>
  <si>
    <t xml:space="preserve">Meta 2.1: Porcentaje de pacientes con TB que fueron diagnosticados a través de pruebas bacteriológicas 75%. </t>
  </si>
  <si>
    <t>TBDT-1  Número de pacientes notificados con todas las formas de tuberculosis (esto es, confirmada bacteriológicamente + diagnosticada clínicamente), *incluye únicamente pacientes nuevos y recaídas. .</t>
  </si>
  <si>
    <t>Adquisición de equipos, suministros e insumos necesarios para el diagnóstico de la tuberculosis, TB/VIH y TB-MDR.</t>
  </si>
  <si>
    <t>ISSS,3</t>
  </si>
  <si>
    <t>El costo total de diagnostico laboratorial, la proyección esta basada en informacion  gererada por el departamento de costo del ISSS.</t>
  </si>
  <si>
    <t>Otros Gastos (Otras prestaciones, micronutrientes, transporte, entre otros)</t>
  </si>
  <si>
    <t>ISSS,4</t>
  </si>
  <si>
    <t>Este costo corresponde a otras prestaciones para los derecho habientes, incluidos micronutrientes, transporte, pago de subsidios e incapacidades medicas derivadas del diagnostico y tratamiento de la TB. .</t>
  </si>
  <si>
    <t>ISSS,6</t>
  </si>
  <si>
    <t>Corresponde a los productos no farmaceuticos  y equipos de salud, utilizados en diagnóstico y tratamiento de las personas con TB.</t>
  </si>
  <si>
    <t>Pago de salario y prestaciones de ley para recursos humanos ISSS para atención del Programa de Tuberculosis ISSS Hospitales, Unidades Médicas, Clínicas comunales y Nivel Central ISSS.</t>
  </si>
  <si>
    <t>por personas</t>
  </si>
  <si>
    <t>Salario y prestaciones de los personal de salud operativo de hospitales, unidades medicas, clínicas comunales y Nivel Central del ISSS  que laboran para el programa de TB.</t>
  </si>
  <si>
    <t xml:space="preserve">Meta 1.6: Disminuir al menos el 50% de la incidencia de casos de TB todas las formas en población privada de libertad. </t>
  </si>
  <si>
    <t xml:space="preserve">KVP-1 Número de personas con tuberculosis (todas las formas) notificadas entre personas privadas de libertad; *solo incluye pacientes nuevos y recaídas. </t>
  </si>
  <si>
    <t>Pago de salario  de Recursos Humanos Dirección General de Centros Penales  (RRHH)</t>
  </si>
  <si>
    <t>DGCP</t>
  </si>
  <si>
    <t>Salario de personal medico, enfermeras, auxiliares, custodios, motoristas, polivalentes, que realizan actividades de diagnostico, tratamiento y atenciones de casos  y/o actividades de apoyo para la prevención y control de la TB.</t>
  </si>
  <si>
    <t>Porcentaje de casos todas las formas de TB entre PPL tratados exitosamente entre el total de casos todas las formas notificadas</t>
  </si>
  <si>
    <t xml:space="preserve">TB O-2a Tasa de éxito del tratamiento en todas las formas de tuberculosis, confirmada bacteriológicamente y diagnosticada clínicamente, pacientes nuevos y recaídas. </t>
  </si>
  <si>
    <t>Brindar soporte nutricional especializado:  Dietas, suplementos nutricionales. Para personas con TB y TB/VIH</t>
  </si>
  <si>
    <t>Apoyo a pacientes, incluye las dietas especiales, suplementos nutricionales. Para personas con TB y TB/VIH.</t>
  </si>
  <si>
    <t>Tratamiento para personas con TB presuntivas y tratamiento con Cotrimoxazol para personas con VIH y Coinfección TB.</t>
  </si>
  <si>
    <t>Fortalecimiento al recurso humano en salud (Capacitaciones, supervisión y monitoreo) para la actualización de lineamientos de atención.</t>
  </si>
  <si>
    <t>Se brindaran capacitaciones y actualización de conocimiento al  recurso humano en salud (Capacitaciones, supervisión y monitoreo) a traves de sesiones educativas, monitoreo facilitadores para la actualización de lineamientos de atención.</t>
  </si>
  <si>
    <r>
      <t xml:space="preserve">Porcentaje de éxito del tratamiento para TB </t>
    </r>
    <r>
      <rPr>
        <u/>
        <sz val="10"/>
        <rFont val="Calibri"/>
        <family val="2"/>
      </rPr>
      <t>&gt;</t>
    </r>
    <r>
      <rPr>
        <sz val="10"/>
        <rFont val="Calibri"/>
        <family val="2"/>
      </rPr>
      <t>92%.</t>
    </r>
  </si>
  <si>
    <r>
      <t xml:space="preserve">2.7. Tratamiento centrado en las necesidades de los usuarios, con atención integral a las comorbilidades, 
como enfermedades no transmisibles, salud mental y apoyo psicosocial.. </t>
    </r>
    <r>
      <rPr>
        <sz val="10"/>
        <rFont val="Calibri"/>
        <family val="2"/>
      </rPr>
      <t> </t>
    </r>
  </si>
  <si>
    <t>Tasa de éxito del tratamiento en todas las formas de tuberculosis- confirmados bacteriológicamente y con diagnóstico clínico, casos nuevos y recaídas</t>
  </si>
  <si>
    <t>Lic. Yanira Chita</t>
  </si>
  <si>
    <t>FM L-1</t>
  </si>
  <si>
    <t>2.7. Tratamiento centrado en las necesidades de los usuarios, con atención integral a las comorbilidades, 
como enfermedades no transmisibles, salud mental y apoyo psicosocial.</t>
  </si>
  <si>
    <t>Adquisición de  insumos para diagnostico laboratorial y mantenimiento de medios diagnósticos</t>
  </si>
  <si>
    <t>Porcentaje de organizaciones no gubernamentales y otras organizaciones de la sociedad civil integradas en las actividades comunitarias de lucha contra la tuberculosis</t>
  </si>
  <si>
    <t>Reuniones de comité de Docencia - 8 reuniones al año</t>
  </si>
  <si>
    <t xml:space="preserve">Meta 2.1: Cobertura de tratamiento para Tuberculosis activa ≥90%. </t>
  </si>
  <si>
    <t>Meta 2.3: Cobertura de pacientes con TB con resultados de sensibilidad a medicamentos de segunda línea del 100%. 
Meta 2.4: Cobertura de tratamiento con nuevos medicamentos orales para drogorresistencia 90%.</t>
  </si>
  <si>
    <t xml:space="preserve">Meta 2.2: Porcentaje de pacientes de TB que fueron diagnosticados a través de pruebas bacteriológicas 75%. </t>
  </si>
  <si>
    <t xml:space="preserve">Meta 2.3: Cobertura de pacientes con TB con resultados de sensibilidad a medicamentos de segunda línea del 100%. </t>
  </si>
  <si>
    <t>2.2. Porcentaje de pacientes nuevos de TB que fueron diagnosticados a través de pruebas bacteriológicas 75%</t>
  </si>
  <si>
    <t>Se contratara servicios de alimentación con local para las reuniones de monitoreo y evaluación de indicadores: reunión de equipos de estrategias  PPL, TB-Diabetes, Grandes Ciudades, ENGAGE TB y  coinfección TB/VIH ; para  Regiones de salud, hospitales de la red nacional, equipos multidisciplinarios.</t>
  </si>
  <si>
    <t>Se contratara servicios de alimentación con local para las reuniones de monitoreo y evaluación de indicadores: reunión de equipos de estrategias en PPL, TB-Diabetes, Grandes Ciudades, ENGAGE TB y  coinfección TB/VIH ; para  Regiones de salud, hospitales de la red nacional, equipos multidisciplinarios.</t>
  </si>
  <si>
    <t>Formación de personal Multidisciplinario del sistema de salud en monitoreo y evaluación de información epidemiológica clínica y programatica que brindan atención a migrantes.</t>
  </si>
  <si>
    <t xml:space="preserve">Reuniones mensuales de monitoreo y evaluación con el comité de TB MDR, conformado por  las institucines del Sistema Nacional Integrado de Salud.  </t>
  </si>
  <si>
    <t>Formación de personal Multidisciplinario del sistema de salud en monitoreo y evaluación de información epidemiológica clínica y programatica para personal de salud de las diferentes regiones y SIBASI.</t>
  </si>
  <si>
    <t>Reuniones de monitoreo y evaluación de para analisis de información epidemiologica y programatica a nivel nacional con regiones de salud, e instituciones de SNIS.</t>
  </si>
  <si>
    <t>Reuniones mensuales de comité multisectorial de TB Farmacorresistente para la vigilancias y monitoreo de la TB resistente y seguimiento de casos , seguimiento a evaluacion internacional del Comité de Luz verde de la Region de las Americas  en el cual participan ISSS, MINSAL, Dirección General de Centros Penales. (12 reuniones con 16 participantes (total 192 por año) a un costo de $25.00 por personas , costo total por reunión de $400.00 y $4,800.00 por año).</t>
  </si>
  <si>
    <t>Contratación de servicios de alimentacion para realizar una capacitación y una evaluación con 25 personas por zonas fronterizas (2 grupos de 25 personas cada 6 meses) para evaluar semestralmente al personal médico y enfermería de los establecimientos de salud interfronterizos, para la identificación y seguimiento  de SR y casos en personas retornadas y migrantes y población móvil.</t>
  </si>
  <si>
    <t>Compra de refrigeradoras  para conservación de muestras de las OSI (clínicas de las Oficinas Sanitarias Internacionales) al establecimiento de salud mas cercano.</t>
  </si>
  <si>
    <t xml:space="preserve"> Congreso Nacional de tuberculosis.</t>
  </si>
  <si>
    <t xml:space="preserve">Es necesario contratar servicios de publicidad para desarrollar una campaña de informacion y educacion a través de medios de comunicacion colectiva (radio, televisión, medios digitales) con la finalidad de llevar mensajes de tuberculosis a la poblacion, principalmente a la que no demanda atención en los establecimientos de salud y asi captar sintomaticos respiratorios para realizar diagnosticos precoz y tratamiento oportuno de casos. Ver anexo plan de compras. </t>
  </si>
  <si>
    <t xml:space="preserve">Se desarrollará un congreso nacional de TB, durante los años 2 y 3, en el cual participará personal operativo del SNIS, ONG y otros proveedores de salud públicos y privados (250 personas a un costo de $30.00 por persona como gasto de alimentación). El propósito es actualizar al personal operativo en la temática de la TB, dar a conocer resultados de estudios realizados, promover la implementacion de nuevas estrategias y experiencias exitosas a nivel operativo, entre otros. Ver anexo plan de compras. </t>
  </si>
  <si>
    <t xml:space="preserve">Se proporcionará a los participantes del congreso nacional de TB, (personal salud,operativo del SNIS, ONG´s y otros proveedores de salud públicos y privados) de insumos y materiales, entre ellos: Maletines, boligrafos y Memorias via puerto USB. 
</t>
  </si>
  <si>
    <t xml:space="preserve">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y niños. Se ha contemplado realizar la  compra de tres tipos de formulas polimericas, los cuales poseen diferentes precios calculando un promedio de $14 por lata, se administraran 4 latas de suplemento nutricional por paciente durante la primera fase de tratamiento o de acuerdo a la necesidad nutricional de la persona afectada.
</t>
  </si>
  <si>
    <t>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y niños. Se ha contemplado realizar la  compra de tres tipos de formulas polimericas, los cuales poseen diferentes precios calculando un promedio de $14.00 por lata, se administraran 4 latas de suplemento nutricional por paciente durante la primera fase de tratamiento o de acuerdo a la necesidad nutricional de la persona afectada.</t>
  </si>
  <si>
    <t xml:space="preserve">Compra de promocionales e insumos para realizar movilizacion social en el Día Mundial de TB con las municipalidades que participan en la Iniciativa de TB en Grandes Ciudades.
</t>
  </si>
  <si>
    <t>Se realizara como parte de los requisitos solicitados a traves de la subvencion y para dar cumplimiento a brindar informes con calidad del dato, se contratara a una empresa que realice el Data Quality Review en el 2do año de las subvencion con un monto $80,000.00 
Dentro de las metas/hitos de la estrategica fin de la tuberculosis se tiene el compriomiso pais el reportar la medicion de lo costo catastrofico en TB; medicion que nos permite conocer el rubro de gasto que esta afectando a las familias que incurre en estos costos y asi poder buscar estrategias que nos pemite disminuir este porcentaje de familia.</t>
  </si>
  <si>
    <r>
      <t xml:space="preserve">Compra de cartuchos para equipo Gene Xpert MTB/RIF ULTRA (Principalmente para poblaciones de más alto riesgo  </t>
    </r>
    <r>
      <rPr>
        <b/>
        <sz val="10"/>
        <rFont val="Arial"/>
        <family val="2"/>
      </rPr>
      <t xml:space="preserve">privados de libertad. </t>
    </r>
    <r>
      <rPr>
        <sz val="10"/>
        <rFont val="Arial"/>
        <family val="2"/>
      </rPr>
      <t xml:space="preserve"> </t>
    </r>
  </si>
  <si>
    <t xml:space="preserve">Poblaciones clave y vulnerables  </t>
  </si>
  <si>
    <t xml:space="preserve">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t>
  </si>
  <si>
    <t>Adquisición de modulos de repuesto de  equipos Gene Xpert.</t>
  </si>
  <si>
    <t>Compra de dos  equipo de videobroncoscopia para ser utilizado en pacientes con TB presuntiva de dificil diagnostico que ameritan procedimientos invasivos en hospital de tercer nivel con comorbilidades como VIH, DM, IRC, colagenopatias, etc  en quienes no se puede confirmar el dx con examens no invasivos y que llegan al Hospital Nacional Rosales y Hospital Nacional Saldaña.  Se estima $ 148,300 por  equipo que incluye todos sus accesorios.</t>
  </si>
  <si>
    <t>Compra de frascos para muestras de esputo, para pruebas moleculares, BK y cultivos para pruebas en población general y otras poblaciones de riesgo (no PPL)</t>
  </si>
  <si>
    <r>
      <t xml:space="preserve">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t>
    </r>
    <r>
      <rPr>
        <b/>
        <sz val="10"/>
        <rFont val="Arial"/>
        <family val="2"/>
      </rPr>
      <t>en personas con VIH.</t>
    </r>
  </si>
  <si>
    <t xml:space="preserve">Compra de pruebas de TB LAM Ag, para diagnostico poblaciones de más alto riesgo persona con VIH </t>
  </si>
  <si>
    <t>Compra de  biológico PPD.</t>
  </si>
  <si>
    <r>
      <t xml:space="preserve">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t>
    </r>
    <r>
      <rPr>
        <b/>
        <sz val="10"/>
        <rFont val="Arial"/>
        <family val="2"/>
      </rPr>
      <t>Población Privado de Libertad</t>
    </r>
    <r>
      <rPr>
        <b/>
        <sz val="16"/>
        <rFont val="Arial"/>
        <family val="2"/>
      </rPr>
      <t xml:space="preserve">. </t>
    </r>
  </si>
  <si>
    <t xml:space="preserve">
ISSS</t>
  </si>
  <si>
    <r>
      <t>Compra de cartuchos para equipo Gene Xpert  XDR (Principalmente para poblaciones de más</t>
    </r>
    <r>
      <rPr>
        <b/>
        <sz val="10"/>
        <rFont val="Arial"/>
        <family val="2"/>
      </rPr>
      <t xml:space="preserve"> alto riesgo población privados de libertad,</t>
    </r>
    <r>
      <rPr>
        <sz val="10"/>
        <rFont val="Arial"/>
        <family val="2"/>
      </rPr>
      <t xml:space="preserve"> sospechosos de TB/MDR o TB/RR.</t>
    </r>
  </si>
  <si>
    <t>Se adquiriran insumos varios de laboratorio que apoyen para el funcionamiento del diagnóstico bacteriológico de la TB en PPL:.</t>
  </si>
  <si>
    <t>Compra de  seguro y mantenimientos para vehiculos del Programa de Tuberculosis y camión movil de rayos X.</t>
  </si>
  <si>
    <t xml:space="preserve">Corresponde a la compra institucional del MINSAL, de biológico PPD. Esto ha sido calculado, con base en las proyecciones, poblaciones e incremento de precios; según datos de compra historica de los ultimos 5 años. </t>
  </si>
  <si>
    <t>Corresponde a la compra institucional del MINSAL, de medicamentos antifímicos de primera linea (casos TB sensibles) para PPL, basado en las proyección estimada de casos en esta población.</t>
  </si>
  <si>
    <t>Corresponde a la compra institucional del MINSAL, de medicamentos antifímicos de segunda linea (farmacos para tratar TB farmaco resistentes) para PPL, basado en las proyección estimada de casos en esta población, tomando en cuenta la detección historica de un 80% de los casos resistentes de nivel nacional estan en está población..</t>
  </si>
  <si>
    <t>Corresponde a la compra institucional del MINSAL, de medicamentos antifímicos de segunda linea (farmacos para tratar TB farmaco resistentes) para población general, basado en las proyección estimada, tomando en cuenta la detección historica de un 20% de los casos resistentes de nivel nacional estan en está población.</t>
  </si>
  <si>
    <t>Medicamento para brindar TPT en PPL para cumplimiento del Plan contingencial,  en las personas que son elegibles,  hasta cubrir el 100% de las necesidades.Se plantea realizar la compra en el primesr semestre del año 2026.</t>
  </si>
  <si>
    <t>Corresponde a la compra institucional del MINSAL, de medicamentos antifímicos de primera linea (casos TB sensibles) para personas con coinfección TB/VIH basado en las proyección casos en esta población.</t>
  </si>
  <si>
    <t>Corresponde a la compra institucional del MINSAL, de medicamentos antifímicos de primera linea (casos TB sensibles) para personas población general y otras poblaciones de riesgo.</t>
  </si>
  <si>
    <t xml:space="preserve">Compra de suplemento nutricional para la administracion de cuatro latas o su equivalente durante la primera fase de tratamiento a los pacientes afectados por TB, TB DR y a otros grupos vulnerables como son los niños y personas con TB diabetes. </t>
  </si>
  <si>
    <t>Medicamento para brindar TPT en población con VIH, posterior al descarte de la TB. Se estima que un total de 2,000 personas VIH nueva y conocidas se les brindará TPT en cada año.</t>
  </si>
  <si>
    <t>Medicamento para brindar TPT en otras poblaciones con riesgo y vulnerabilidad y  personas con TB.</t>
  </si>
  <si>
    <t>Etiquetas de fila</t>
  </si>
  <si>
    <t>Suma de Año 1</t>
  </si>
  <si>
    <t>Total general</t>
  </si>
  <si>
    <t>Suma de Año 2</t>
  </si>
  <si>
    <t>Suma de Año 3</t>
  </si>
  <si>
    <t>Suma de Año 4</t>
  </si>
  <si>
    <t>Suma de Año 5</t>
  </si>
  <si>
    <t xml:space="preserve">Meta 1.5: Disminuir al menos el 50% de la incidencia de casos de TB todas las formas en población privada de libertad. </t>
  </si>
  <si>
    <t xml:space="preserve">Administración y gerencia </t>
  </si>
  <si>
    <t>Adquisición de medicamentos : Productos farmaceuticos, para atención de PPL.</t>
  </si>
  <si>
    <t>Meta 1.6: Cobertura de TPT de personas que viven con el VIH actualmente inscritas en el tratamiento antirretroviral que iniciaron el tratamiento preventivo de la tuberculosis durante el período de reporte de al menos 10%.</t>
  </si>
  <si>
    <t>Suma de TOTAL 5 AÑOS</t>
  </si>
  <si>
    <t xml:space="preserve">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Se ha contemplado realizar la  compra de dos tipos de formulas polimericas, los cuales poseen diferentes precios calculando un promedio de $14.33 por lata, se administraran 4 latas de suplemento nutricional por paciente durante la primera fase de tratamiento o de acuerdo a la necesidad nutricional de la persona afectada.
</t>
  </si>
  <si>
    <t>PENM total</t>
  </si>
  <si>
    <t xml:space="preserve">FM </t>
  </si>
  <si>
    <t>FM+UQD</t>
  </si>
  <si>
    <t>PRESUPUESTO DETALLADO DEL PENM TB 2025-2029 V5-4-04-2024</t>
  </si>
  <si>
    <t>POBLACION</t>
  </si>
  <si>
    <t>Poblacion General / otras poblaciones de alto riesgo</t>
  </si>
  <si>
    <t>Principalmente para otras poblaciones de más alto riesgo y sospechosos de TB/MDR o TB/RR</t>
  </si>
  <si>
    <t>para población General y otras poblaciones de riesgo</t>
  </si>
  <si>
    <t>población Privados de Libertad (PPL).</t>
  </si>
  <si>
    <t>Poblaciones de alta vulnerabilidad en PPL</t>
  </si>
  <si>
    <t>Poblaciones general con alto riesgo, como inmuno deficientes, niños, Diabetes, contactos, personas con Enfermedad Renal; cancer; personal de salud, entre otros.</t>
  </si>
  <si>
    <t>para población de Riesgo PPL.</t>
  </si>
  <si>
    <t>para otras poblaciones de riesgo y contactos</t>
  </si>
  <si>
    <t xml:space="preserve">para poblaciones de más alto riesgo persona con VIH </t>
  </si>
  <si>
    <t xml:space="preserve"> Para personas con TB y TB/VIH</t>
  </si>
  <si>
    <t>Población General</t>
  </si>
  <si>
    <t>Población de riesgo Privados de Libertad. (PPL)</t>
  </si>
  <si>
    <t>Población comorbilidad Diabeticos</t>
  </si>
  <si>
    <t>Migrantes y poblaciones moviles</t>
  </si>
  <si>
    <t>Compra de termos kenseller  necesarios para la captacion y conservación de muestras (cadena de frío) para OSI</t>
  </si>
  <si>
    <t>Compra de  refrigeradoras para Unidades de salud de Oficinas sanitarias internacionales (OSI)</t>
  </si>
  <si>
    <t>Poblaciones de más alto riesgo Población privados de libertad, sospechosos de TB/MDR o TB/RR, personas con diabetes, entre otros</t>
  </si>
  <si>
    <t>Todas las poblaciones</t>
  </si>
  <si>
    <t>Poblaciones de más alto riesgo persona con VIH</t>
  </si>
  <si>
    <t>Monitoreo y evaluación</t>
  </si>
  <si>
    <t>Trabajadores de salud</t>
  </si>
  <si>
    <t>Contactos de personas con TB y personas con VIH</t>
  </si>
  <si>
    <t>Población General; para tratamiento de TB DR.</t>
  </si>
  <si>
    <t>Poblacione de riesgo privados de libertad. (PPL)</t>
  </si>
  <si>
    <t>Personas con VIH</t>
  </si>
  <si>
    <t>Poblacion General y poblaciones de alto riesgo</t>
  </si>
  <si>
    <t>Aquisición de productos y equipo de Salud, Instituto Salvadoreño del Seguro Social.</t>
  </si>
  <si>
    <t xml:space="preserve">Pacientes afectados por TB, TB DR y a otros grupos vulnerables como son los niños y personas con TB diabetes. </t>
  </si>
  <si>
    <t>Población Privados de Libertad (PPL).</t>
  </si>
  <si>
    <r>
      <t xml:space="preserve">Compra de cartuchos para equipo Gene Xpert MTB/RIF ULTRA Principalmente para poblaciones de más </t>
    </r>
    <r>
      <rPr>
        <b/>
        <sz val="10"/>
        <rFont val="Arial"/>
        <family val="2"/>
      </rPr>
      <t xml:space="preserve">alto riesgo persona con VIH </t>
    </r>
  </si>
  <si>
    <r>
      <t xml:space="preserve">Compra de cartuchos para equipo Gene Xpert MTB/RIF ULTRA Principalmente para </t>
    </r>
    <r>
      <rPr>
        <b/>
        <sz val="10"/>
        <rFont val="Arial"/>
        <family val="2"/>
      </rPr>
      <t>Poblaciones general</t>
    </r>
    <r>
      <rPr>
        <sz val="10"/>
        <rFont val="Arial"/>
        <family val="2"/>
      </rPr>
      <t xml:space="preserve"> con </t>
    </r>
    <r>
      <rPr>
        <b/>
        <sz val="10"/>
        <rFont val="Arial"/>
        <family val="2"/>
      </rPr>
      <t>alto riesgo, como inmuno deficientes, niños, Diabetes, contactos, personas con Enfermedad Renal; cancer; personal de salud, entre otros.</t>
    </r>
  </si>
  <si>
    <r>
      <t>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t>
    </r>
    <r>
      <rPr>
        <b/>
        <sz val="10"/>
        <rFont val="Arial"/>
        <family val="2"/>
      </rPr>
      <t xml:space="preserve"> TB en grupos de mayor riesgos y vulnerabilidad Otros</t>
    </r>
  </si>
  <si>
    <r>
      <t xml:space="preserve">Compra de cartuchos para equipo Gene Xpert  XDR (Principalmente para otras poblaciones de más alto riesgo y sospechosos de TB/MDR o TB/RR, como </t>
    </r>
    <r>
      <rPr>
        <b/>
        <sz val="10"/>
        <rFont val="Arial"/>
        <family val="2"/>
      </rPr>
      <t>personas con diabetes, VIH, comorbilidades, niños, contactos, personal de salud, entre otros.</t>
    </r>
  </si>
  <si>
    <r>
      <t xml:space="preserve">Compra de  medicamentos antifimicos: </t>
    </r>
    <r>
      <rPr>
        <b/>
        <sz val="10"/>
        <rFont val="Arial"/>
        <family val="2"/>
      </rPr>
      <t>primera linea para población de riesgo Privados de Libertad. (PPL)</t>
    </r>
  </si>
  <si>
    <r>
      <t>Compra de  medicamentos antifimicos:</t>
    </r>
    <r>
      <rPr>
        <b/>
        <sz val="10"/>
        <rFont val="Arial"/>
        <family val="2"/>
      </rPr>
      <t xml:space="preserve"> Segunda línea para población de Riesgo PPL; para tratamiento de TB DR.</t>
    </r>
  </si>
  <si>
    <r>
      <t>Compra de  medicamentos antifimicos:</t>
    </r>
    <r>
      <rPr>
        <b/>
        <sz val="10"/>
        <rFont val="Arial"/>
        <family val="2"/>
      </rPr>
      <t xml:space="preserve"> Segunda línea para población General; para tratamiento de TB DR.</t>
    </r>
  </si>
  <si>
    <r>
      <t xml:space="preserve">Compra de  medicamentos antifimicos: </t>
    </r>
    <r>
      <rPr>
        <b/>
        <sz val="10"/>
        <rFont val="Arial"/>
        <family val="2"/>
      </rPr>
      <t>medicamentos para TPT. para población de Riesgo PPL.</t>
    </r>
  </si>
  <si>
    <r>
      <t xml:space="preserve">Compra de  medicamentos antifimicos: </t>
    </r>
    <r>
      <rPr>
        <b/>
        <sz val="10"/>
        <rFont val="Arial"/>
        <family val="2"/>
      </rPr>
      <t xml:space="preserve">primera linea para poblaciones de más alto riesgo persona con VIH </t>
    </r>
  </si>
  <si>
    <r>
      <t xml:space="preserve">Compra de  medicamentos antifimicos: </t>
    </r>
    <r>
      <rPr>
        <b/>
        <sz val="10"/>
        <rFont val="Arial"/>
        <family val="2"/>
      </rPr>
      <t>primera linea para población General y otras poblaciones de riesgo</t>
    </r>
  </si>
  <si>
    <r>
      <t xml:space="preserve">Compra de  medicamentos antifimicos: </t>
    </r>
    <r>
      <rPr>
        <b/>
        <sz val="10"/>
        <rFont val="Arial"/>
        <family val="2"/>
      </rPr>
      <t xml:space="preserve">medicamentos para TPT. para poblaciones de más alto riesgo persona con VIH </t>
    </r>
  </si>
  <si>
    <r>
      <t xml:space="preserve">Compra de  medicamentos antifimicos: </t>
    </r>
    <r>
      <rPr>
        <b/>
        <sz val="10"/>
        <rFont val="Arial"/>
        <family val="2"/>
      </rPr>
      <t>medicamentos para TPT. para otras poblaciones de riesgo y contactos</t>
    </r>
  </si>
  <si>
    <r>
      <t xml:space="preserve">Compra de suplemento nutricional para la administracion de cuatro latas o su equivalente durante la primera fase de tratamiento a los pacientes afectados por TB </t>
    </r>
    <r>
      <rPr>
        <b/>
        <sz val="10"/>
        <rFont val="Arial"/>
        <family val="2"/>
      </rPr>
      <t>población Privados de Libertad (PPL).</t>
    </r>
  </si>
  <si>
    <t xml:space="preserve">Servicios de alojamiento para el monitoreo de indicadores en los establecimeintos de salud de  las Regiones de Salud Oriental y Occidental. </t>
  </si>
  <si>
    <t xml:space="preserve">Se comprara 500 pruebas TB LAM Ag, por años por 3 años, se distribuira en los 30 hospitales de la Red Nacional, como prueba de apoyo diagnóstica de TB en pacientes VIH, con comorbilidad o de dificil diagnóstico. 1,500 pruebas , a un costo de $10.00 </t>
  </si>
  <si>
    <t xml:space="preserve">Compra de pruebas de TB LAM Ag, para diagnostico poblaciones de más alto riesgo persona con VIH. </t>
  </si>
  <si>
    <t xml:space="preserve">Formación de personal Multidisciplinario del sistema de salud en monitoreo y evaluación de información epidemiológica clínica y programatica que brindan atención a migrantes.  </t>
  </si>
  <si>
    <t xml:space="preserve">Compra de glucometros;  lancetas (caja de 100) ; tiras reactivas, para  establecimientos de salud y Centros Penales.    </t>
  </si>
  <si>
    <r>
      <rPr>
        <sz val="10"/>
        <color theme="1"/>
        <rFont val="Arial"/>
        <family val="2"/>
      </rPr>
      <t>Formación de personal Multidisciplinario del sistema de salud en monitoreo y evaluación de información epidemiológica clínica y programatica para personal de salud de las diferentes regiones y SIBASI</t>
    </r>
    <r>
      <rPr>
        <b/>
        <sz val="10"/>
        <color theme="1"/>
        <rFont val="Arial"/>
        <family val="2"/>
      </rPr>
      <t>.</t>
    </r>
  </si>
  <si>
    <t xml:space="preserve">Contratacion de una Institucion formadora de recursos para el desarrollo del Diplomado en Atencion Integral a la Tuberculosis. </t>
  </si>
  <si>
    <t>Impresión de libros y formularios para el registro de la informacion primaria en los establecimientos del SNIS. Compra de insumos para área de imprenta incluye material educativo y audiovision para el control de la tuberculosis con enfoque intercultural.</t>
  </si>
  <si>
    <t xml:space="preserve">Compra de materiales para proporcionar a los participantes del congreso (maletines, memorias USB, bolígrafos). </t>
  </si>
  <si>
    <t>Se contrataran servicios de alojamiento para personal técnico y motorista; con el objetivo de realizar jornadas de monitoreo y evaluación de actividades programáticas y Evaluaciones Nacionales,  que realicen en la zona Oriental y Occidental del país; en las cuales por motivo de distancia y tráfico a la salida y entrada a la capital; se vuelve necesario pernoctar en la zona de trabajo, para iniciar de forma temprana las actividades. Se plantean 25 servicios por año, con un monto de $60.00 por persona por noche.</t>
  </si>
  <si>
    <t>Compra de frascos para muestras de esputo, para pruebas moleculares, BK y cultivo; para pruebas en poblaciones de alta vulnerabilidad en PPL.</t>
  </si>
  <si>
    <t xml:space="preserve">Compra de cartuchos para equipo Gene Xpert MTB/RIF ULTRA (Principalmente para poblaciones de más alto riesgo  privados de libertad.  </t>
  </si>
  <si>
    <t>Compra de cartuchos para equipo Gene Xpert  XDR (Principalmente para poblaciones de más alto riesgo Población privados de libertad, sospechosos de TB/MDR o TB/RR, personas con diabetes, entre otros).</t>
  </si>
  <si>
    <t>Compra de  medicamentos antifimicos: medicamentos para TPT. para población de Riesgo PPL.</t>
  </si>
  <si>
    <t>SUPUESTO DEL COSTO
FACTURA, COTIZACION, CONTRATOS, OC, E</t>
  </si>
  <si>
    <t>LP</t>
  </si>
  <si>
    <t>TOTALES</t>
  </si>
  <si>
    <t>TOTAL 3 AÑOS</t>
  </si>
  <si>
    <t>LINEAS ESTRATEGICAS PENM</t>
  </si>
  <si>
    <t xml:space="preserve">MODULO </t>
  </si>
  <si>
    <t xml:space="preserve">INTERVENCIÓN PENM </t>
  </si>
  <si>
    <t>Descarte de la TB activa y latente para la administración de tratamiento a la enfermedad activa e ILTB en 100% de PPL en aquellos que son elegibles.</t>
  </si>
  <si>
    <t>Vigilancia continua de la farmacorresistencia en PPL con pruebas moleculares al 100% de personas con TB presuntiva.</t>
  </si>
  <si>
    <t>Tratamiento, atención y apoyo para las personas afectadas por TB-DR</t>
  </si>
  <si>
    <t>Actividades Colaborativas TB/VIH</t>
  </si>
  <si>
    <t>Diagnóstico de la TB Sensible y DR/ pruebas de sensibilidad a los fármacos.</t>
  </si>
  <si>
    <t>Campañas informativas sobre prevención y control de TB en las comunidades, a través de los diferentes medios de comunicación y redes sociales.</t>
  </si>
  <si>
    <t>Tratamiento y atención a las personas afectadas por la coinfección TB/VIH</t>
  </si>
  <si>
    <t>Tamizaje, diagnóstico y control del tratamiento de la tuberculosis</t>
  </si>
  <si>
    <t>Tamizaje, realización de pruebas y diagnostico en personas con coinfección TB/VIH</t>
  </si>
  <si>
    <t>Detección de casos, diagnóstico, tratamiento y la prevención de las tuberculosis dirigidas específicamente a niños y adolescentes</t>
  </si>
  <si>
    <t>Descarte de diabetes mellitus en las personas diagnosticadas con TB de todas las formas</t>
  </si>
  <si>
    <t>Detección oportuna de TB a todas las personas migrantes que cumplen con el criterio de TB presuntiva y caso de TB, por las Oficinas Sanitarias Internacionales (OSI) en coordinación con la red de establecimientos del MINSAL.</t>
  </si>
  <si>
    <t>Detección de casos, diagnóstico, tratamiento y la prevención de las tuberculosis dirigidas específicamente a niños y adolescentes.</t>
  </si>
  <si>
    <t>Involucramiento de otros proveedores no PNT en la atención de la TB (Observatorio TB, ONG/OSC, proveedores de salud privados, gobiernos municipales, sector académico).</t>
  </si>
  <si>
    <t>Desarrollo de estrategia, políticas y reglamentos del sector de salud nacional</t>
  </si>
  <si>
    <t xml:space="preserve">
Involucramiento de otros proveedores no PNT en la atención de la TB (Observatorio TB, ONG/OSC, proveedores de salud privados, gobiernos municipales, sector académico).</t>
  </si>
  <si>
    <t>Prevención y Control de Infecciones que se transmiten por el aire con énfasis en TB.</t>
  </si>
  <si>
    <t>Gestión y Administración</t>
  </si>
  <si>
    <t>Información y educación en TB, a la población, para disminuir barreras interculturales (pueblos indígenas).</t>
  </si>
  <si>
    <t>Movilización y abogacía con participación de la comunidad, incluido el apoyo a los grupos de personas afectados y que han superado la TB.</t>
  </si>
  <si>
    <t>Investigación sobre la temática de Tuberculosis.</t>
  </si>
  <si>
    <t xml:space="preserve">INTERVENCIÓN PENM TB </t>
  </si>
  <si>
    <t>PRESUPUESTO DETALLADO DEL PENM TB 2025-2029 V6-17-04-2024</t>
  </si>
  <si>
    <r>
      <t>Compra de cartuchos para equipo Gene Xpert MTB/RIF ULTRA (Principalmente para poblaciones de más alto riesgo</t>
    </r>
    <r>
      <rPr>
        <b/>
        <sz val="10"/>
        <color theme="1"/>
        <rFont val="Arial"/>
        <family val="2"/>
      </rPr>
      <t xml:space="preserve">  privados de libertad.  </t>
    </r>
  </si>
  <si>
    <t>1.5-Tratamiento centrado en las necesidades de los usuarios, con atención integral a las comorbilidades, como enfermedades no transmisibles, salud mental y apoyo psicosocial.</t>
  </si>
  <si>
    <t>TBDT - other -1: Porcentaje de casos todas las formas de TB entre PPL tratados exitosamente entre el total de casos todas las formas notificadas en el periodo de reporte</t>
  </si>
  <si>
    <t>TB/HIV-7.1 Porcentaje de personas que viven con el VIH actualmente inscritas en el tratamiento antirretroviral que iniciaron el tratamiento preventivo de la tuberculosis durante el período de reporte</t>
  </si>
  <si>
    <t>TB O-4⁽ᴹ⁾ Tasa de éxito del tratamiento de los casos de tuberculosis resistente a la rifampicina y/o tuberculosis multirresistente: Porcentaje de casos de tuberculosis resistente a la rifampicina y/o tuberculosis multirresistente tratados con éxito.</t>
  </si>
  <si>
    <r>
      <t xml:space="preserve">TBP - Other 2: porcentaje de personas privadas de libertad elegibles que iniciaron tratamiento preventivo contra la Tuberculosis </t>
    </r>
    <r>
      <rPr>
        <sz val="9.5"/>
        <color theme="1"/>
        <rFont val="Bembo Std"/>
      </rPr>
      <t>(</t>
    </r>
    <r>
      <rPr>
        <i/>
        <sz val="9.5"/>
        <color theme="1"/>
        <rFont val="Bembo Std"/>
      </rPr>
      <t>Indicador Contractual para FM</t>
    </r>
  </si>
  <si>
    <t>TBP - Other 2: porcentaje de personas privadas de libertad elegibles que iniciaron tratamiento preventivo contra la Tuberculosis (Indicador Contractual para FM</t>
  </si>
  <si>
    <t>Contratacion de consultor, empresa o institucion para al elaboracion y ejecucion del estudio de costos catastroficos</t>
  </si>
  <si>
    <t>Contratacion de consultor, empresa o institucion para al elaboracion de Estudio de calidad del dato (DQR)</t>
  </si>
  <si>
    <t xml:space="preserve">Dr. Cristian Henrique </t>
  </si>
  <si>
    <t xml:space="preserve">Se realizara como parte de los requisitos solicitados a traves de la subvencion y para dar cumplimiento a brindar informes con calidad del dato, se contratara a una empresa que realice el Data Quality Review en el 2do año de las subvencion con un monto $80,000.00 
</t>
  </si>
  <si>
    <t xml:space="preserve">
Dentro de las metas/hitos de la estrategica fin de la tuberculosis se tiene el compriomiso pais el reportar la medicion de lo costo catastrofico en TB; medicion que nos permite conocer el rubro de gasto que esta afectando a las familias que incurre en estos costos y asi poder buscar estrategias que nos pemite disminuir este porcentaje de familia.</t>
  </si>
  <si>
    <t>Contratacion de consultor, empresa o institucion para al elaboracion y ejecucion del estudio de  calidad del dato (DQR)</t>
  </si>
  <si>
    <t>Entidad financiadora</t>
  </si>
  <si>
    <t xml:space="preserve"> Año 1</t>
  </si>
  <si>
    <t xml:space="preserve"> Año 2</t>
  </si>
  <si>
    <t xml:space="preserve"> Año 3</t>
  </si>
  <si>
    <t xml:space="preserve"> Año 4</t>
  </si>
  <si>
    <t xml:space="preserve"> Año 5</t>
  </si>
  <si>
    <t>Total  5 AÑOS</t>
  </si>
  <si>
    <t>Total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</si>
</sst>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240A]\ * #,##0.00_);_([$$-240A]\ * \(#,##0.00\);_([$$-240A]\ * \-??_);_(@_)"/>
    <numFmt numFmtId="165" formatCode="#.###"/>
    <numFmt numFmtId="166" formatCode="&quot; $&quot;* #,##0.00\ ;&quot; $&quot;* \(#,##0.00\);&quot; $&quot;* \-#\ ;@\ "/>
    <numFmt numFmtId="167" formatCode="&quot;$&quot;#,##0"/>
    <numFmt numFmtId="168" formatCode="#.##0"/>
    <numFmt numFmtId="169" formatCode="_ [$$-240A]\ * #,##0.00_ ;_ [$$-240A]\ * \-#,##0.00_ ;_ [$$-240A]\ * \-??_ ;_ @_ "/>
    <numFmt numFmtId="170" formatCode="_(&quot;$&quot;* #,##0.0_);_(&quot;$&quot;* \(#,##0.0\);_(&quot;$&quot;* \-?_);_(@_)"/>
    <numFmt numFmtId="171" formatCode="0.0000"/>
    <numFmt numFmtId="172" formatCode="_-[$$-240A]\ * #,##0.00_-;\-[$$-240A]\ * #,##0.00_-;_-[$$-240A]\ * &quot;-&quot;??_-;_-@_-"/>
    <numFmt numFmtId="173" formatCode="_([$$-240A]\ * #,##0.00_);_([$$-240A]\ * \(#,##0.00\);_([$$-240A]\ * \-_);_(@_)"/>
    <numFmt numFmtId="174" formatCode="_([$$-240A]\ * #,##0_);_([$$-240A]\ * \(#,##0\);_([$$-240A]\ * \-_);_(@_)"/>
    <numFmt numFmtId="175" formatCode="_([$$-240A]\ * #,##0.0_);_([$$-240A]\ * \(#,##0.0\);_([$$-240A]\ * \-_);_(@_)"/>
    <numFmt numFmtId="176" formatCode="_-[$$-440A]* #,##0.00_ ;_-[$$-440A]* \-#,##0.00\ ;_-[$$-440A]* &quot;-&quot;??_ ;_-@_ "/>
    <numFmt numFmtId="177" formatCode="[$$-440A]* #,##0.00\ ;[$$-440A]* \-#,##0.00\ ;[$$-440A]* \-#\ ;@\ "/>
    <numFmt numFmtId="178" formatCode="_-[$$-440A]* #,##0.00_-;\-[$$-440A]* #,##0.00_-;_-[$$-440A]* &quot;-&quot;??_-;_-@_-"/>
    <numFmt numFmtId="179" formatCode="0.0%"/>
  </numFmts>
  <fonts count="33">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sz val="10"/>
      <name val="Century Gothic"/>
      <family val="2"/>
    </font>
    <font>
      <sz val="10"/>
      <name val="Museo Sans"/>
    </font>
    <font>
      <sz val="11"/>
      <color indexed="8"/>
      <name val="Calibri"/>
      <family val="2"/>
    </font>
    <font>
      <sz val="10"/>
      <name val="Calibri"/>
      <family val="2"/>
    </font>
    <font>
      <u/>
      <sz val="10"/>
      <name val="Calibri"/>
      <family val="2"/>
    </font>
    <font>
      <sz val="10"/>
      <name val="Museo Sans 300"/>
    </font>
    <font>
      <sz val="10"/>
      <name val="Calibri"/>
      <family val="2"/>
      <scheme val="minor"/>
    </font>
    <font>
      <sz val="10"/>
      <name val="Times New Roman"/>
      <family val="1"/>
    </font>
    <font>
      <sz val="8"/>
      <name val="Calibri"/>
      <family val="2"/>
      <scheme val="minor"/>
    </font>
    <font>
      <b/>
      <sz val="48"/>
      <name val="Arial"/>
      <family val="2"/>
    </font>
    <font>
      <b/>
      <sz val="16"/>
      <name val="Arial"/>
      <family val="2"/>
    </font>
    <font>
      <sz val="11"/>
      <name val="Century Gothic"/>
      <family val="2"/>
    </font>
    <font>
      <b/>
      <sz val="10"/>
      <name val="Century Gothic"/>
      <family val="2"/>
    </font>
    <font>
      <sz val="10"/>
      <color theme="4"/>
      <name val="Arial"/>
      <family val="2"/>
    </font>
    <font>
      <sz val="10"/>
      <color theme="1"/>
      <name val="Arial"/>
      <family val="2"/>
    </font>
    <font>
      <b/>
      <sz val="10"/>
      <color theme="1"/>
      <name val="Arial"/>
      <family val="2"/>
    </font>
    <font>
      <sz val="10"/>
      <color theme="1"/>
      <name val="Century Gothic"/>
      <family val="2"/>
    </font>
    <font>
      <sz val="48"/>
      <name val="Calibri"/>
      <family val="2"/>
      <scheme val="minor"/>
    </font>
    <font>
      <sz val="14"/>
      <name val="Arial"/>
      <family val="2"/>
    </font>
    <font>
      <b/>
      <sz val="11"/>
      <color theme="1"/>
      <name val="Calibri"/>
      <family val="2"/>
      <scheme val="minor"/>
    </font>
    <font>
      <sz val="10"/>
      <color theme="1"/>
      <name val="Museo Sans 300"/>
    </font>
    <font>
      <sz val="12"/>
      <name val="Museo Sans 300"/>
    </font>
    <font>
      <sz val="9.5"/>
      <color rgb="FF00000A"/>
      <name val="Times New Roman"/>
      <family val="1"/>
    </font>
    <font>
      <b/>
      <sz val="20"/>
      <name val="Calibri"/>
      <family val="2"/>
      <scheme val="minor"/>
    </font>
    <font>
      <b/>
      <sz val="14"/>
      <name val="Arial"/>
      <family val="2"/>
    </font>
    <font>
      <sz val="12"/>
      <color rgb="FF000000"/>
      <name val="Museo Sans 300"/>
    </font>
    <font>
      <sz val="9.5"/>
      <color theme="1"/>
      <name val="Bembo Std"/>
    </font>
    <font>
      <i/>
      <sz val="9.5"/>
      <color theme="1"/>
      <name val="Bembo Std"/>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theme="4" tint="0.79998168889431442"/>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4" tint="0.39997558519241921"/>
      </top>
      <bottom/>
      <diagonal/>
    </border>
    <border>
      <left/>
      <right/>
      <top/>
      <bottom style="thin">
        <color theme="4" tint="0.39997558519241921"/>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0" fontId="7" fillId="0" borderId="0"/>
    <xf numFmtId="9" fontId="1" fillId="0" borderId="0" applyFont="0" applyFill="0" applyBorder="0" applyAlignment="0" applyProtection="0"/>
  </cellStyleXfs>
  <cellXfs count="194">
    <xf numFmtId="0" fontId="0" fillId="0" borderId="0" xfId="0"/>
    <xf numFmtId="0" fontId="2" fillId="0" borderId="0" xfId="0" applyFont="1"/>
    <xf numFmtId="0" fontId="3"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165" fontId="2" fillId="0" borderId="2" xfId="0" applyNumberFormat="1" applyFont="1" applyBorder="1" applyAlignment="1" applyProtection="1">
      <alignment horizontal="center" vertical="center" wrapText="1"/>
      <protection locked="0"/>
    </xf>
    <xf numFmtId="166"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7" fontId="2" fillId="0" borderId="2" xfId="0" applyNumberFormat="1" applyFont="1" applyBorder="1" applyAlignment="1">
      <alignment horizontal="left" vertical="center" wrapText="1"/>
    </xf>
    <xf numFmtId="0" fontId="2" fillId="0" borderId="2" xfId="0" applyFont="1" applyBorder="1" applyAlignment="1">
      <alignment horizontal="center" vertical="center"/>
    </xf>
    <xf numFmtId="168" fontId="2" fillId="0" borderId="2" xfId="0" applyNumberFormat="1" applyFont="1" applyBorder="1" applyAlignment="1">
      <alignment horizontal="left" vertical="center" wrapText="1"/>
    </xf>
    <xf numFmtId="168" fontId="2" fillId="0" borderId="2" xfId="0" applyNumberFormat="1" applyFont="1" applyBorder="1" applyAlignment="1">
      <alignment vertical="center" wrapText="1"/>
    </xf>
    <xf numFmtId="169" fontId="2" fillId="0" borderId="2" xfId="0" applyNumberFormat="1" applyFont="1" applyBorder="1" applyAlignment="1">
      <alignment horizontal="center" vertical="center"/>
    </xf>
    <xf numFmtId="0" fontId="2" fillId="0" borderId="2" xfId="0" applyFont="1" applyBorder="1" applyAlignment="1">
      <alignment horizontal="justify" vertical="center"/>
    </xf>
    <xf numFmtId="167" fontId="2" fillId="0" borderId="2" xfId="0" applyNumberFormat="1" applyFont="1" applyBorder="1" applyAlignment="1">
      <alignment vertical="center" wrapText="1"/>
    </xf>
    <xf numFmtId="170" fontId="2" fillId="0" borderId="2" xfId="0" applyNumberFormat="1" applyFont="1" applyBorder="1" applyAlignment="1" applyProtection="1">
      <alignment horizontal="left" vertical="center" wrapText="1"/>
      <protection locked="0"/>
    </xf>
    <xf numFmtId="0" fontId="2" fillId="0" borderId="2" xfId="0" applyFont="1" applyBorder="1" applyAlignment="1">
      <alignment horizontal="center" vertical="top"/>
    </xf>
    <xf numFmtId="0" fontId="5"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horizontal="center" vertical="center"/>
    </xf>
    <xf numFmtId="171" fontId="2" fillId="0" borderId="2" xfId="0" applyNumberFormat="1" applyFont="1" applyBorder="1" applyAlignment="1" applyProtection="1">
      <alignment vertical="center" wrapText="1"/>
      <protection locked="0"/>
    </xf>
    <xf numFmtId="166" fontId="2" fillId="0" borderId="2" xfId="0" applyNumberFormat="1" applyFont="1" applyBorder="1" applyAlignment="1">
      <alignment horizontal="center" vertical="center" wrapText="1"/>
    </xf>
    <xf numFmtId="169" fontId="2" fillId="0" borderId="2" xfId="0" applyNumberFormat="1" applyFont="1" applyBorder="1" applyAlignment="1">
      <alignment horizontal="center" vertical="center" wrapText="1"/>
    </xf>
    <xf numFmtId="0" fontId="2" fillId="0" borderId="0" xfId="0" applyFont="1" applyAlignment="1">
      <alignment wrapText="1"/>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lignment horizontal="center" vertical="center" wrapText="1"/>
    </xf>
    <xf numFmtId="169" fontId="5" fillId="0" borderId="2" xfId="0" applyNumberFormat="1" applyFont="1" applyBorder="1" applyAlignment="1">
      <alignment horizontal="center" vertical="center"/>
    </xf>
    <xf numFmtId="49" fontId="2" fillId="0" borderId="2" xfId="0" applyNumberFormat="1" applyFont="1" applyBorder="1" applyAlignment="1">
      <alignment horizontal="justify" vertical="center" wrapText="1"/>
    </xf>
    <xf numFmtId="168" fontId="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xf>
    <xf numFmtId="173"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174"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74" fontId="2" fillId="0" borderId="2" xfId="0" applyNumberFormat="1" applyFont="1" applyBorder="1" applyAlignment="1">
      <alignment horizontal="center" vertical="center" wrapText="1"/>
    </xf>
    <xf numFmtId="175" fontId="2" fillId="0" borderId="2" xfId="0" applyNumberFormat="1" applyFont="1" applyBorder="1" applyAlignment="1">
      <alignment horizontal="center" vertical="center"/>
    </xf>
    <xf numFmtId="0" fontId="6" fillId="0" borderId="2" xfId="0" applyFont="1" applyBorder="1" applyAlignment="1">
      <alignment horizontal="left" vertical="center" wrapText="1"/>
    </xf>
    <xf numFmtId="176" fontId="2" fillId="0" borderId="2" xfId="0" applyNumberFormat="1" applyFont="1" applyBorder="1" applyAlignment="1">
      <alignment horizontal="center" vertical="center"/>
    </xf>
    <xf numFmtId="43" fontId="2" fillId="0" borderId="2" xfId="0" applyNumberFormat="1" applyFont="1" applyBorder="1" applyAlignment="1">
      <alignment horizontal="center" vertical="center"/>
    </xf>
    <xf numFmtId="170" fontId="2" fillId="0" borderId="2" xfId="0" applyNumberFormat="1" applyFont="1" applyBorder="1" applyAlignment="1" applyProtection="1">
      <alignment horizontal="center" vertical="center"/>
      <protection locked="0"/>
    </xf>
    <xf numFmtId="0" fontId="2" fillId="0" borderId="2" xfId="4" applyFont="1" applyBorder="1" applyAlignment="1">
      <alignment horizontal="justify" vertical="center"/>
    </xf>
    <xf numFmtId="0" fontId="8" fillId="0" borderId="2" xfId="4" applyFont="1" applyBorder="1" applyAlignment="1">
      <alignment horizontal="justify" vertical="center"/>
    </xf>
    <xf numFmtId="0" fontId="10" fillId="0" borderId="2" xfId="4" applyFont="1" applyBorder="1" applyAlignment="1">
      <alignment horizontal="justify" vertical="center" wrapText="1"/>
    </xf>
    <xf numFmtId="0" fontId="8" fillId="0" borderId="2" xfId="4" applyFont="1" applyBorder="1" applyAlignment="1">
      <alignment vertical="center" wrapText="1"/>
    </xf>
    <xf numFmtId="0" fontId="2" fillId="0" borderId="2" xfId="4" applyFont="1" applyBorder="1" applyAlignment="1">
      <alignment vertical="center" wrapText="1"/>
    </xf>
    <xf numFmtId="0" fontId="2" fillId="0" borderId="2" xfId="4" applyFont="1" applyBorder="1" applyAlignment="1">
      <alignment horizontal="left" vertical="center" wrapText="1"/>
    </xf>
    <xf numFmtId="0" fontId="2" fillId="0" borderId="2" xfId="4" applyFont="1" applyBorder="1" applyAlignment="1">
      <alignment horizontal="left" vertical="center"/>
    </xf>
    <xf numFmtId="0" fontId="4" fillId="0" borderId="2" xfId="4" applyFont="1" applyBorder="1" applyAlignment="1">
      <alignment horizontal="center" vertical="center" wrapText="1"/>
    </xf>
    <xf numFmtId="0" fontId="5" fillId="0" borderId="2" xfId="4" applyFont="1" applyBorder="1" applyAlignment="1">
      <alignment horizontal="center" vertical="center" wrapText="1"/>
    </xf>
    <xf numFmtId="0" fontId="2" fillId="0" borderId="2" xfId="4" applyFont="1" applyBorder="1" applyAlignment="1">
      <alignment horizontal="center" vertical="center"/>
    </xf>
    <xf numFmtId="164" fontId="2" fillId="0" borderId="2" xfId="4" applyNumberFormat="1" applyFont="1" applyBorder="1" applyAlignment="1">
      <alignment horizontal="center" vertical="center"/>
    </xf>
    <xf numFmtId="170" fontId="2" fillId="0" borderId="2" xfId="4" applyNumberFormat="1" applyFont="1" applyBorder="1" applyAlignment="1" applyProtection="1">
      <alignment horizontal="center" vertical="center" wrapText="1"/>
      <protection locked="0"/>
    </xf>
    <xf numFmtId="49" fontId="2" fillId="0" borderId="2" xfId="4" applyNumberFormat="1" applyFont="1" applyBorder="1" applyAlignment="1" applyProtection="1">
      <alignment horizontal="left" vertical="center" wrapText="1"/>
      <protection locked="0"/>
    </xf>
    <xf numFmtId="0" fontId="2" fillId="0" borderId="2" xfId="0" applyFont="1" applyBorder="1" applyAlignment="1">
      <alignment horizontal="left" vertical="center"/>
    </xf>
    <xf numFmtId="0" fontId="4" fillId="0" borderId="2" xfId="0" applyFont="1" applyBorder="1"/>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166"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70" fontId="2" fillId="0" borderId="2"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wrapText="1"/>
    </xf>
    <xf numFmtId="0" fontId="2" fillId="0" borderId="0" xfId="0" applyFont="1" applyAlignment="1">
      <alignment vertical="center"/>
    </xf>
    <xf numFmtId="164" fontId="2" fillId="0" borderId="0" xfId="0" applyNumberFormat="1" applyFont="1"/>
    <xf numFmtId="169" fontId="2" fillId="0" borderId="0" xfId="0" applyNumberFormat="1" applyFont="1" applyAlignment="1">
      <alignment wrapText="1"/>
    </xf>
    <xf numFmtId="44" fontId="2" fillId="0" borderId="0" xfId="1" applyFont="1" applyFill="1" applyAlignment="1">
      <alignment horizontal="center" vertical="center"/>
    </xf>
    <xf numFmtId="44" fontId="2" fillId="0" borderId="0" xfId="1" applyFont="1" applyFill="1"/>
    <xf numFmtId="44" fontId="2" fillId="0" borderId="0" xfId="1" applyFont="1" applyFill="1" applyAlignment="1">
      <alignment wrapText="1"/>
    </xf>
    <xf numFmtId="44" fontId="4" fillId="0" borderId="0" xfId="1" applyFont="1" applyFill="1" applyAlignment="1">
      <alignment horizontal="center" wrapText="1"/>
    </xf>
    <xf numFmtId="44" fontId="2" fillId="0" borderId="0" xfId="1" applyFont="1" applyFill="1" applyAlignment="1">
      <alignment vertical="center"/>
    </xf>
    <xf numFmtId="0" fontId="11" fillId="0" borderId="0" xfId="0" applyFont="1"/>
    <xf numFmtId="164" fontId="4" fillId="0" borderId="2" xfId="0" applyNumberFormat="1" applyFont="1" applyBorder="1" applyAlignment="1">
      <alignment horizontal="center" vertical="center" wrapText="1"/>
    </xf>
    <xf numFmtId="0" fontId="4" fillId="0" borderId="0" xfId="0" applyFont="1" applyAlignment="1">
      <alignment horizontal="center" vertical="center"/>
    </xf>
    <xf numFmtId="172" fontId="8" fillId="0" borderId="2" xfId="0" applyNumberFormat="1" applyFont="1" applyBorder="1" applyAlignment="1">
      <alignment vertical="center"/>
    </xf>
    <xf numFmtId="0" fontId="11" fillId="0" borderId="0" xfId="0" applyFont="1" applyAlignment="1">
      <alignment horizontal="center" vertical="center"/>
    </xf>
    <xf numFmtId="0" fontId="12" fillId="0" borderId="2" xfId="0" applyFont="1" applyBorder="1" applyAlignment="1">
      <alignment horizontal="justify" vertical="center"/>
    </xf>
    <xf numFmtId="166" fontId="2" fillId="2" borderId="2" xfId="0" applyNumberFormat="1" applyFont="1" applyFill="1" applyBorder="1" applyAlignment="1">
      <alignment horizontal="center" vertical="center"/>
    </xf>
    <xf numFmtId="169" fontId="5" fillId="2" borderId="2" xfId="0" applyNumberFormat="1" applyFont="1" applyFill="1" applyBorder="1" applyAlignment="1">
      <alignment horizontal="center" vertical="center"/>
    </xf>
    <xf numFmtId="166" fontId="2" fillId="3" borderId="2" xfId="0" applyNumberFormat="1" applyFont="1" applyFill="1" applyBorder="1" applyAlignment="1">
      <alignment horizontal="center" vertical="center"/>
    </xf>
    <xf numFmtId="0" fontId="11" fillId="0" borderId="2" xfId="0" applyFont="1" applyBorder="1" applyAlignment="1">
      <alignment horizontal="center"/>
    </xf>
    <xf numFmtId="0" fontId="2" fillId="0" borderId="0" xfId="0" applyFont="1" applyAlignment="1">
      <alignment horizontal="center"/>
    </xf>
    <xf numFmtId="44" fontId="2" fillId="0" borderId="0" xfId="1" applyFont="1" applyFill="1" applyAlignment="1">
      <alignment horizontal="center"/>
    </xf>
    <xf numFmtId="0" fontId="2" fillId="0" borderId="0" xfId="0" applyFont="1" applyAlignment="1">
      <alignment horizontal="left"/>
    </xf>
    <xf numFmtId="44" fontId="2" fillId="0" borderId="0" xfId="1" applyFont="1" applyFill="1" applyAlignment="1">
      <alignment horizontal="left"/>
    </xf>
    <xf numFmtId="0" fontId="0" fillId="0" borderId="0" xfId="0" pivotButton="1"/>
    <xf numFmtId="0" fontId="0" fillId="0" borderId="0" xfId="0" applyAlignment="1">
      <alignment horizontal="left"/>
    </xf>
    <xf numFmtId="178" fontId="0" fillId="0" borderId="0" xfId="0" applyNumberFormat="1"/>
    <xf numFmtId="44" fontId="0" fillId="0" borderId="0" xfId="0" applyNumberFormat="1"/>
    <xf numFmtId="10" fontId="0" fillId="0" borderId="0" xfId="5" applyNumberFormat="1" applyFont="1"/>
    <xf numFmtId="0" fontId="0" fillId="0" borderId="0" xfId="0" applyAlignment="1">
      <alignment horizontal="left" indent="1"/>
    </xf>
    <xf numFmtId="44" fontId="0" fillId="0" borderId="0" xfId="1" applyFont="1"/>
    <xf numFmtId="44" fontId="2" fillId="0" borderId="0" xfId="1" applyFont="1"/>
    <xf numFmtId="0" fontId="0" fillId="0" borderId="0" xfId="0" applyAlignment="1">
      <alignment horizontal="center" vertical="center"/>
    </xf>
    <xf numFmtId="179" fontId="0" fillId="0" borderId="0" xfId="5" applyNumberFormat="1" applyFont="1"/>
    <xf numFmtId="0" fontId="2" fillId="0" borderId="2" xfId="2" applyBorder="1" applyAlignment="1">
      <alignment horizontal="left" vertical="center" wrapText="1"/>
    </xf>
    <xf numFmtId="179" fontId="0" fillId="0" borderId="0" xfId="0" applyNumberFormat="1"/>
    <xf numFmtId="0" fontId="11" fillId="0" borderId="0" xfId="0" applyFont="1" applyAlignment="1">
      <alignment horizontal="center"/>
    </xf>
    <xf numFmtId="0" fontId="2" fillId="0" borderId="2" xfId="2" applyBorder="1" applyAlignment="1">
      <alignment horizontal="justify" vertical="center"/>
    </xf>
    <xf numFmtId="0" fontId="4" fillId="0" borderId="2" xfId="2" applyFont="1" applyBorder="1" applyAlignment="1">
      <alignment horizontal="left" vertical="center" wrapText="1"/>
    </xf>
    <xf numFmtId="0" fontId="2" fillId="0" borderId="2" xfId="3" applyBorder="1" applyAlignment="1" applyProtection="1">
      <alignment horizontal="left" vertical="center" wrapText="1"/>
      <protection locked="0"/>
    </xf>
    <xf numFmtId="49" fontId="2" fillId="0" borderId="2" xfId="2" applyNumberFormat="1" applyBorder="1" applyAlignment="1">
      <alignment horizontal="left" vertical="center" wrapText="1"/>
    </xf>
    <xf numFmtId="49" fontId="2" fillId="0" borderId="2" xfId="2" applyNumberFormat="1" applyBorder="1" applyAlignment="1">
      <alignment horizontal="justify" vertical="center" wrapText="1"/>
    </xf>
    <xf numFmtId="49" fontId="2" fillId="0" borderId="2" xfId="2" applyNumberFormat="1" applyBorder="1" applyAlignment="1">
      <alignment vertical="center" wrapText="1"/>
    </xf>
    <xf numFmtId="0" fontId="2" fillId="0" borderId="2" xfId="2" applyBorder="1" applyAlignment="1">
      <alignment horizontal="center" vertical="center" wrapText="1"/>
    </xf>
    <xf numFmtId="0" fontId="2" fillId="0" borderId="2" xfId="2" applyBorder="1" applyAlignment="1">
      <alignment horizontal="justify" vertical="center" wrapText="1"/>
    </xf>
    <xf numFmtId="44" fontId="16" fillId="0" borderId="2" xfId="1" applyFont="1" applyBorder="1" applyAlignment="1">
      <alignment horizontal="center" vertical="center"/>
    </xf>
    <xf numFmtId="44" fontId="17" fillId="0" borderId="2" xfId="1" applyFont="1" applyFill="1" applyBorder="1" applyAlignment="1">
      <alignment horizontal="center" vertical="center"/>
    </xf>
    <xf numFmtId="44" fontId="5" fillId="0" borderId="2" xfId="1" applyFont="1" applyFill="1" applyBorder="1" applyAlignment="1">
      <alignment horizontal="center" vertical="center"/>
    </xf>
    <xf numFmtId="178" fontId="5" fillId="0" borderId="2" xfId="1" applyNumberFormat="1" applyFont="1" applyFill="1" applyBorder="1" applyAlignment="1">
      <alignment horizontal="center" vertical="center"/>
    </xf>
    <xf numFmtId="177" fontId="2" fillId="0" borderId="2" xfId="3" applyNumberFormat="1" applyBorder="1" applyAlignment="1" applyProtection="1">
      <alignment horizontal="center" vertical="center"/>
      <protection locked="0"/>
    </xf>
    <xf numFmtId="0" fontId="11" fillId="0" borderId="0" xfId="0" applyFont="1" applyAlignment="1">
      <alignment horizontal="left"/>
    </xf>
    <xf numFmtId="43" fontId="11" fillId="0" borderId="0" xfId="0" applyNumberFormat="1"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172" fontId="11" fillId="0" borderId="0" xfId="0" applyNumberFormat="1" applyFont="1"/>
    <xf numFmtId="164" fontId="18" fillId="0" borderId="0" xfId="0" applyNumberFormat="1" applyFont="1"/>
    <xf numFmtId="0" fontId="19" fillId="0" borderId="2" xfId="2" applyFont="1" applyBorder="1" applyAlignment="1">
      <alignment horizontal="left" vertical="center" wrapText="1"/>
    </xf>
    <xf numFmtId="0" fontId="19" fillId="0" borderId="2" xfId="0" applyFont="1" applyBorder="1" applyAlignment="1">
      <alignment horizontal="left" vertical="center" wrapText="1"/>
    </xf>
    <xf numFmtId="1" fontId="21" fillId="0" borderId="2" xfId="0" applyNumberFormat="1" applyFont="1" applyBorder="1" applyAlignment="1">
      <alignment horizontal="center" vertical="center"/>
    </xf>
    <xf numFmtId="0" fontId="0" fillId="0" borderId="0" xfId="0" applyAlignment="1">
      <alignment horizontal="justify" vertical="justify"/>
    </xf>
    <xf numFmtId="0" fontId="0" fillId="0" borderId="0" xfId="0" applyAlignment="1">
      <alignment horizontal="justify" vertical="center"/>
    </xf>
    <xf numFmtId="0" fontId="0" fillId="0" borderId="0" xfId="0" pivotButton="1" applyAlignment="1">
      <alignment vertical="center"/>
    </xf>
    <xf numFmtId="0" fontId="0" fillId="0" borderId="0" xfId="0" applyAlignment="1">
      <alignment vertical="center"/>
    </xf>
    <xf numFmtId="0" fontId="0" fillId="0" borderId="0" xfId="0" applyAlignment="1">
      <alignment horizontal="center" vertical="justify"/>
    </xf>
    <xf numFmtId="0" fontId="0" fillId="0" borderId="0" xfId="0"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5" fontId="2" fillId="2" borderId="2" xfId="0" applyNumberFormat="1" applyFont="1" applyFill="1" applyBorder="1" applyAlignment="1" applyProtection="1">
      <alignment horizontal="center" vertical="center" wrapText="1"/>
      <protection locked="0"/>
    </xf>
    <xf numFmtId="164" fontId="2" fillId="2" borderId="2" xfId="0" applyNumberFormat="1" applyFont="1" applyFill="1" applyBorder="1" applyAlignment="1">
      <alignment horizontal="center" vertical="center" wrapText="1"/>
    </xf>
    <xf numFmtId="0" fontId="2" fillId="2" borderId="2" xfId="0" applyFont="1" applyFill="1" applyBorder="1" applyAlignment="1">
      <alignment horizontal="justify" vertical="center" wrapText="1"/>
    </xf>
    <xf numFmtId="178" fontId="0" fillId="0" borderId="0" xfId="0" applyNumberFormat="1" applyAlignment="1">
      <alignment vertical="center"/>
    </xf>
    <xf numFmtId="0" fontId="4" fillId="4" borderId="2" xfId="0" applyFont="1" applyFill="1" applyBorder="1" applyAlignment="1">
      <alignment horizontal="center" vertical="center"/>
    </xf>
    <xf numFmtId="166" fontId="2"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xf numFmtId="164" fontId="18" fillId="0" borderId="2" xfId="0" applyNumberFormat="1" applyFont="1" applyBorder="1"/>
    <xf numFmtId="0" fontId="11" fillId="0" borderId="2" xfId="0" applyFont="1" applyBorder="1"/>
    <xf numFmtId="0" fontId="11" fillId="0" borderId="2" xfId="0" applyFont="1" applyBorder="1" applyAlignment="1">
      <alignment horizontal="center" vertical="center"/>
    </xf>
    <xf numFmtId="44" fontId="23" fillId="0" borderId="0" xfId="0" applyNumberFormat="1" applyFont="1" applyAlignment="1">
      <alignment horizontal="center" vertical="center"/>
    </xf>
    <xf numFmtId="9" fontId="23" fillId="0" borderId="0" xfId="5" applyFont="1" applyAlignment="1">
      <alignment horizontal="center" vertical="center"/>
    </xf>
    <xf numFmtId="0" fontId="24" fillId="0" borderId="0" xfId="0" applyFont="1" applyAlignment="1">
      <alignment horizontal="left"/>
    </xf>
    <xf numFmtId="178" fontId="24" fillId="0" borderId="0" xfId="0" applyNumberFormat="1" applyFont="1"/>
    <xf numFmtId="0" fontId="10" fillId="0" borderId="0" xfId="0" applyFont="1" applyAlignment="1">
      <alignment horizontal="center" vertical="center" wrapText="1"/>
    </xf>
    <xf numFmtId="0" fontId="18" fillId="0" borderId="2" xfId="0" applyFont="1" applyBorder="1" applyAlignment="1">
      <alignment vertical="center" wrapText="1"/>
    </xf>
    <xf numFmtId="0" fontId="18" fillId="0" borderId="2" xfId="2" applyFont="1" applyBorder="1" applyAlignment="1">
      <alignment horizontal="left" vertical="center" wrapText="1"/>
    </xf>
    <xf numFmtId="0" fontId="25" fillId="0" borderId="0" xfId="0" applyFont="1" applyAlignment="1">
      <alignment wrapText="1"/>
    </xf>
    <xf numFmtId="0" fontId="10" fillId="0" borderId="0" xfId="0" applyFont="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applyAlignment="1">
      <alignment wrapText="1"/>
    </xf>
    <xf numFmtId="0" fontId="25" fillId="0" borderId="0" xfId="0" applyFont="1" applyAlignment="1">
      <alignment horizontal="left" vertical="center" wrapText="1"/>
    </xf>
    <xf numFmtId="0" fontId="27" fillId="0" borderId="0" xfId="0" applyFont="1" applyAlignment="1">
      <alignment vertical="center" wrapText="1"/>
    </xf>
    <xf numFmtId="0" fontId="2" fillId="0" borderId="2" xfId="0" applyFont="1" applyBorder="1" applyAlignment="1">
      <alignment vertical="center"/>
    </xf>
    <xf numFmtId="169" fontId="2" fillId="0" borderId="2" xfId="0" applyNumberFormat="1" applyFont="1" applyBorder="1" applyAlignment="1">
      <alignment wrapText="1"/>
    </xf>
    <xf numFmtId="9" fontId="2" fillId="0" borderId="0" xfId="5" applyFont="1" applyAlignment="1">
      <alignment horizontal="center" vertical="center"/>
    </xf>
    <xf numFmtId="164" fontId="2" fillId="4" borderId="2" xfId="0" applyNumberFormat="1" applyFont="1" applyFill="1" applyBorder="1" applyAlignment="1">
      <alignment horizontal="center" vertical="center" wrapText="1"/>
    </xf>
    <xf numFmtId="44" fontId="29" fillId="4" borderId="2" xfId="0" applyNumberFormat="1" applyFont="1" applyFill="1" applyBorder="1" applyAlignment="1">
      <alignment vertical="center"/>
    </xf>
    <xf numFmtId="0" fontId="30" fillId="0" borderId="0" xfId="0" applyFont="1" applyAlignment="1">
      <alignment horizontal="justify" vertical="center"/>
    </xf>
    <xf numFmtId="0" fontId="19" fillId="0" borderId="0" xfId="0" applyFont="1" applyAlignment="1">
      <alignment vertical="center" wrapText="1"/>
    </xf>
    <xf numFmtId="0" fontId="25" fillId="0" borderId="2" xfId="0" applyFont="1" applyBorder="1" applyAlignment="1">
      <alignment wrapText="1"/>
    </xf>
    <xf numFmtId="164" fontId="2" fillId="0" borderId="2" xfId="0" applyNumberFormat="1" applyFont="1" applyBorder="1"/>
    <xf numFmtId="0" fontId="10" fillId="0" borderId="2" xfId="0" applyFont="1" applyBorder="1" applyAlignment="1">
      <alignment horizontal="left" vertical="center" wrapText="1"/>
    </xf>
    <xf numFmtId="0" fontId="27" fillId="0" borderId="2" xfId="0" applyFont="1" applyBorder="1" applyAlignment="1">
      <alignment wrapText="1"/>
    </xf>
    <xf numFmtId="0" fontId="25" fillId="0" borderId="2" xfId="0" applyFont="1" applyBorder="1" applyAlignment="1">
      <alignment horizontal="left" vertical="center" wrapText="1"/>
    </xf>
    <xf numFmtId="0" fontId="27" fillId="0" borderId="2" xfId="0" applyFont="1" applyBorder="1" applyAlignment="1">
      <alignment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 fillId="0" borderId="2" xfId="0" applyFont="1" applyBorder="1" applyAlignment="1">
      <alignment wrapText="1"/>
    </xf>
    <xf numFmtId="0" fontId="10" fillId="0" borderId="2" xfId="0" applyFont="1" applyBorder="1" applyAlignment="1">
      <alignment horizontal="center" vertical="center" wrapText="1"/>
    </xf>
    <xf numFmtId="0" fontId="19" fillId="0" borderId="2" xfId="0" applyFont="1" applyBorder="1" applyAlignment="1">
      <alignment vertical="center" wrapText="1"/>
    </xf>
    <xf numFmtId="0" fontId="30" fillId="0" borderId="2" xfId="0" applyFont="1" applyBorder="1" applyAlignment="1">
      <alignment horizontal="justify" vertical="center"/>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22" fillId="0" borderId="0" xfId="0" applyFont="1" applyAlignment="1">
      <alignment horizontal="center" vertical="center"/>
    </xf>
    <xf numFmtId="0" fontId="28" fillId="0" borderId="2" xfId="0" applyFont="1" applyBorder="1" applyAlignment="1">
      <alignment horizontal="center" vertical="center"/>
    </xf>
    <xf numFmtId="0" fontId="24" fillId="5" borderId="13" xfId="0" applyFont="1" applyFill="1" applyBorder="1"/>
    <xf numFmtId="178" fontId="0" fillId="0" borderId="0" xfId="1" applyNumberFormat="1" applyFont="1"/>
    <xf numFmtId="44" fontId="24" fillId="5" borderId="12" xfId="0" applyNumberFormat="1" applyFont="1" applyFill="1" applyBorder="1"/>
  </cellXfs>
  <cellStyles count="6">
    <cellStyle name="Moneda" xfId="1" builtinId="4"/>
    <cellStyle name="Normal" xfId="0" builtinId="0"/>
    <cellStyle name="Normal 10" xfId="2" xr:uid="{279CDB95-8F7C-400D-B3F7-1AE74E8A5FEC}"/>
    <cellStyle name="Normal 3" xfId="4" xr:uid="{E48C203A-2ABF-4D16-8E0E-A5CB2945591F}"/>
    <cellStyle name="Normal 89" xfId="3" xr:uid="{BB9F2E62-5606-474B-A12E-AD30FCAA9B36}"/>
    <cellStyle name="Porcentaje" xfId="5" builtinId="5"/>
  </cellStyles>
  <dxfs count="111">
    <dxf>
      <numFmt numFmtId="178" formatCode="_-[$$-440A]* #,##0.00_-;\-[$$-440A]* #,##0.00_-;_-[$$-440A]* &quot;-&quot;??_-;_-@_-"/>
    </dxf>
    <dxf>
      <numFmt numFmtId="178" formatCode="_-[$$-440A]* #,##0.00_-;\-[$$-440A]* #,##0.00_-;_-[$$-440A]* &quot;-&quot;??_-;_-@_-"/>
    </dxf>
    <dxf>
      <alignment horizontal="justify" vertical="justify"/>
    </dxf>
    <dxf>
      <alignment horizontal="justify" vertical="justify"/>
    </dxf>
    <dxf>
      <alignment horizontal="center"/>
    </dxf>
    <dxf>
      <alignment vertical="center"/>
    </dxf>
    <dxf>
      <alignment vertical="center"/>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34" formatCode="_-&quot;$&quot;* #,##0.00_-;\-&quot;$&quot;* #,##0.00_-;_-&quot;$&quot;* &quot;-&quot;??_-;_-@_-"/>
    </dxf>
    <dxf>
      <alignment horizontal="justify" vertical="justify"/>
    </dxf>
    <dxf>
      <alignment vertical="center"/>
    </dxf>
    <dxf>
      <numFmt numFmtId="178" formatCode="_-[$$-440A]* #,##0.00_-;\-[$$-440A]* #,##0.00_-;_-[$$-440A]* &quot;-&quot;??_-;_-@_-"/>
    </dxf>
    <dxf>
      <numFmt numFmtId="178" formatCode="_-[$$-440A]* #,##0.00_-;\-[$$-440A]* #,##0.00_-;_-[$$-440A]* &quot;-&quot;??_-;_-@_-"/>
    </dxf>
    <dxf>
      <alignment horizontal="justify" vertical="justify"/>
    </dxf>
    <dxf>
      <alignment horizontal="justify" vertical="justify"/>
    </dxf>
    <dxf>
      <alignment horizontal="center"/>
    </dxf>
    <dxf>
      <alignment vertical="center"/>
    </dxf>
    <dxf>
      <alignment vertical="center"/>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34" formatCode="_-&quot;$&quot;* #,##0.00_-;\-&quot;$&quot;* #,##0.00_-;_-&quot;$&quot;* &quot;-&quot;??_-;_-@_-"/>
    </dxf>
    <dxf>
      <alignment horizontal="justify" vertical="justify"/>
    </dxf>
    <dxf>
      <alignment vertical="center"/>
    </dxf>
    <dxf>
      <numFmt numFmtId="178" formatCode="_-[$$-440A]* #,##0.00_-;\-[$$-440A]* #,##0.00_-;_-[$$-440A]* &quot;-&quot;??_-;_-@_-"/>
    </dxf>
    <dxf>
      <numFmt numFmtId="178" formatCode="_-[$$-440A]* #,##0.00_-;\-[$$-440A]* #,##0.00_-;_-[$$-440A]* &quot;-&quot;??_-;_-@_-"/>
    </dxf>
    <dxf>
      <alignment horizontal="justify" vertical="justify"/>
    </dxf>
    <dxf>
      <alignment horizontal="justify" vertical="justify"/>
    </dxf>
    <dxf>
      <alignment horizontal="center"/>
    </dxf>
    <dxf>
      <alignment vertical="center"/>
    </dxf>
    <dxf>
      <alignment vertical="center"/>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34" formatCode="_-&quot;$&quot;* #,##0.00_-;\-&quot;$&quot;* #,##0.00_-;_-&quot;$&quot;* &quot;-&quot;??_-;_-@_-"/>
    </dxf>
    <dxf>
      <alignment horizontal="justify" vertical="justify"/>
    </dxf>
    <dxf>
      <alignment vertical="center"/>
    </dxf>
    <dxf>
      <numFmt numFmtId="178" formatCode="_-[$$-440A]* #,##0.00_-;\-[$$-440A]* #,##0.00_-;_-[$$-440A]* &quot;-&quot;??_-;_-@_-"/>
    </dxf>
    <dxf>
      <numFmt numFmtId="178" formatCode="_-[$$-440A]* #,##0.00_-;\-[$$-440A]* #,##0.00_-;_-[$$-440A]* &quot;-&quot;??_-;_-@_-"/>
    </dxf>
    <dxf>
      <alignment horizontal="justify" vertical="justify"/>
    </dxf>
    <dxf>
      <alignment horizontal="justify" vertical="justify"/>
    </dxf>
    <dxf>
      <alignment horizontal="center"/>
    </dxf>
    <dxf>
      <alignment vertical="center"/>
    </dxf>
    <dxf>
      <alignment vertical="center"/>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178" formatCode="_-[$$-440A]* #,##0.00_-;\-[$$-440A]* #,##0.00_-;_-[$$-440A]* &quot;-&quot;??_-;_-@_-"/>
    </dxf>
    <dxf>
      <alignment vertical="center"/>
    </dxf>
    <dxf>
      <alignment vertical="center"/>
    </dxf>
    <dxf>
      <alignment horizontal="justify" vertical="justify"/>
    </dxf>
    <dxf>
      <alignment horizontal="center"/>
    </dxf>
    <dxf>
      <numFmt numFmtId="34" formatCode="_-&quot;$&quot;* #,##0.00_-;\-&quot;$&quot;* #,##0.00_-;_-&quot;$&quot;* &quot;-&quot;??_-;_-@_-"/>
    </dxf>
    <dxf>
      <alignment horizontal="justify" vertical="justify"/>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178" formatCode="_-[$$-440A]* #,##0.00_-;\-[$$-440A]* #,##0.00_-;_-[$$-440A]* &quot;-&quot;??_-;_-@_-"/>
    </dxf>
    <dxf>
      <alignment vertical="center"/>
    </dxf>
    <dxf>
      <alignment vertical="center"/>
    </dxf>
    <dxf>
      <alignment horizontal="justify" vertical="justify"/>
    </dxf>
    <dxf>
      <alignment horizontal="center"/>
    </dxf>
    <dxf>
      <numFmt numFmtId="178" formatCode="_-[$$-440A]* #,##0.00_-;\-[$$-440A]* #,##0.00_-;_-[$$-440A]* &quot;-&quot;??_-;_-@_-"/>
    </dxf>
    <dxf>
      <numFmt numFmtId="178" formatCode="_-[$$-440A]* #,##0.00_-;\-[$$-440A]* #,##0.00_-;_-[$$-440A]* &quot;-&quot;??_-;_-@_-"/>
    </dxf>
    <dxf>
      <alignment horizontal="justify" vertical="justify"/>
    </dxf>
    <dxf>
      <alignment horizontal="justify" vertical="justify"/>
    </dxf>
    <dxf>
      <alignment horizontal="center"/>
    </dxf>
    <dxf>
      <alignment vertical="center"/>
    </dxf>
    <dxf>
      <alignment vertical="center"/>
    </dxf>
    <dxf>
      <alignment vertical="center"/>
    </dxf>
    <dxf>
      <numFmt numFmtId="178" formatCode="_-[$$-440A]* #,##0.00_-;\-[$$-440A]* #,##0.00_-;_-[$$-440A]* &quot;-&quot;??_-;_-@_-"/>
    </dxf>
    <dxf>
      <alignment vertical="center"/>
    </dxf>
    <dxf>
      <alignment vertical="center"/>
    </dxf>
    <dxf>
      <alignment horizontal="justify" vertical="justify"/>
    </dxf>
    <dxf>
      <alignment horizontal="center"/>
    </dxf>
    <dxf>
      <numFmt numFmtId="34" formatCode="_-&quot;$&quot;* #,##0.00_-;\-&quot;$&quot;* #,##0.00_-;_-&quot;$&quot;* &quot;-&quot;??_-;_-@_-"/>
    </dxf>
    <dxf>
      <alignment horizontal="justify" vertical="justify"/>
    </dxf>
    <dxf>
      <alignment vertical="center"/>
    </dxf>
    <dxf>
      <numFmt numFmtId="178" formatCode="_-[$$-440A]* #,##0.00_-;\-[$$-440A]* #,##0.00_-;_-[$$-440A]* &quot;-&quot;??_-;_-@_-"/>
    </dxf>
    <dxf>
      <alignment vertical="center"/>
    </dxf>
    <dxf>
      <alignment vertical="center"/>
    </dxf>
    <dxf>
      <alignment vertical="center"/>
    </dxf>
    <dxf>
      <alignment horizontal="center"/>
    </dxf>
    <dxf>
      <alignment horizontal="justify" vertical="justify"/>
    </dxf>
    <dxf>
      <alignment horizontal="justify" vertical="justify"/>
    </dxf>
    <dxf>
      <numFmt numFmtId="178" formatCode="_-[$$-440A]* #,##0.00_-;\-[$$-440A]* #,##0.00_-;_-[$$-440A]* &quot;-&quot;??_-;_-@_-"/>
    </dxf>
    <dxf>
      <alignment horizontal="center"/>
    </dxf>
    <dxf>
      <alignment horizontal="justify" vertical="justify"/>
    </dxf>
    <dxf>
      <alignment vertical="center"/>
    </dxf>
    <dxf>
      <alignment vertical="center"/>
    </dxf>
    <dxf>
      <numFmt numFmtId="178" formatCode="_-[$$-440A]* #,##0.00_-;\-[$$-440A]* #,##0.00_-;_-[$$-440A]* &quot;-&quot;??_-;_-@_-"/>
    </dxf>
    <dxf>
      <alignment vertical="center"/>
    </dxf>
    <dxf>
      <alignment horizontal="justify" vertical="justify"/>
    </dxf>
    <dxf>
      <numFmt numFmtId="34" formatCode="_-&quot;$&quot;* #,##0.00_-;\-&quot;$&quot;* #,##0.0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Hoja4!$A$14</c:f>
              <c:strCache>
                <c:ptCount val="1"/>
                <c:pt idx="0">
                  <c:v>1.Abordaje oportuno de la TB en grupos de mayor riesgo y vulnerabilidad con enfoque centrado en la persona. </c:v>
                </c:pt>
              </c:strCache>
            </c:strRef>
          </c:tx>
          <c:spPr>
            <a:solidFill>
              <a:schemeClr val="accent1"/>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Hoja4!$B$14:$G$14</c:f>
              <c:numCache>
                <c:formatCode>_("$"* #,##0.00_);_("$"* \(#,##0.00\);_("$"* "-"??_);_(@_)</c:formatCode>
                <c:ptCount val="6"/>
                <c:pt idx="0">
                  <c:v>2917215.1620000005</c:v>
                </c:pt>
                <c:pt idx="1">
                  <c:v>3577141.2720000003</c:v>
                </c:pt>
                <c:pt idx="2">
                  <c:v>2925541.5766000007</c:v>
                </c:pt>
                <c:pt idx="3">
                  <c:v>2935091.2757300008</c:v>
                </c:pt>
                <c:pt idx="4">
                  <c:v>3012459.6733165011</c:v>
                </c:pt>
                <c:pt idx="5">
                  <c:v>15367448.959646503</c:v>
                </c:pt>
              </c:numCache>
            </c:numRef>
          </c:val>
          <c:extLst>
            <c:ext xmlns:c16="http://schemas.microsoft.com/office/drawing/2014/chart" uri="{C3380CC4-5D6E-409C-BE32-E72D297353CC}">
              <c16:uniqueId val="{00000000-F029-4320-AE1B-C15F031800C8}"/>
            </c:ext>
          </c:extLst>
        </c:ser>
        <c:ser>
          <c:idx val="1"/>
          <c:order val="1"/>
          <c:tx>
            <c:strRef>
              <c:f>Hoja4!$A$15</c:f>
              <c:strCache>
                <c:ptCount val="1"/>
                <c:pt idx="0">
                  <c:v>2. Diagnóstico y tratamiento de pacientes con tuberculosis sensible y tuberculosis drogorresistente </c:v>
                </c:pt>
              </c:strCache>
            </c:strRef>
          </c:tx>
          <c:spPr>
            <a:solidFill>
              <a:schemeClr val="accent2"/>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Hoja4!$B$15:$G$15</c:f>
              <c:numCache>
                <c:formatCode>_("$"* #,##0.00_);_("$"* \(#,##0.00\);_("$"* "-"??_);_(@_)</c:formatCode>
                <c:ptCount val="6"/>
                <c:pt idx="0">
                  <c:v>14895533.430000002</c:v>
                </c:pt>
                <c:pt idx="1">
                  <c:v>15102407.313300001</c:v>
                </c:pt>
                <c:pt idx="2">
                  <c:v>16797153.936041001</c:v>
                </c:pt>
                <c:pt idx="3">
                  <c:v>17595307.806340571</c:v>
                </c:pt>
                <c:pt idx="4">
                  <c:v>18523899.858685069</c:v>
                </c:pt>
                <c:pt idx="5">
                  <c:v>82914302.34436664</c:v>
                </c:pt>
              </c:numCache>
            </c:numRef>
          </c:val>
          <c:extLst>
            <c:ext xmlns:c16="http://schemas.microsoft.com/office/drawing/2014/chart" uri="{C3380CC4-5D6E-409C-BE32-E72D297353CC}">
              <c16:uniqueId val="{00000001-F029-4320-AE1B-C15F031800C8}"/>
            </c:ext>
          </c:extLst>
        </c:ser>
        <c:ser>
          <c:idx val="2"/>
          <c:order val="2"/>
          <c:tx>
            <c:strRef>
              <c:f>Hoja4!$A$16</c:f>
              <c:strCache>
                <c:ptCount val="1"/>
                <c:pt idx="0">
                  <c:v>3.Políticas de salud, intersectorialidad, multisectorialidad, estrategia de participación comunitaria e interculturalidad. </c:v>
                </c:pt>
              </c:strCache>
            </c:strRef>
          </c:tx>
          <c:spPr>
            <a:solidFill>
              <a:schemeClr val="accent3"/>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Hoja4!$B$16:$G$16</c:f>
              <c:numCache>
                <c:formatCode>_("$"* #,##0.00_);_("$"* \(#,##0.00\);_("$"* "-"??_);_(@_)</c:formatCode>
                <c:ptCount val="6"/>
                <c:pt idx="0">
                  <c:v>126480.22</c:v>
                </c:pt>
                <c:pt idx="1">
                  <c:v>109230.02</c:v>
                </c:pt>
                <c:pt idx="2">
                  <c:v>114375.75</c:v>
                </c:pt>
                <c:pt idx="3">
                  <c:v>78368.62</c:v>
                </c:pt>
                <c:pt idx="4">
                  <c:v>78368.62</c:v>
                </c:pt>
                <c:pt idx="5">
                  <c:v>506823.23</c:v>
                </c:pt>
              </c:numCache>
            </c:numRef>
          </c:val>
          <c:extLst>
            <c:ext xmlns:c16="http://schemas.microsoft.com/office/drawing/2014/chart" uri="{C3380CC4-5D6E-409C-BE32-E72D297353CC}">
              <c16:uniqueId val="{00000002-F029-4320-AE1B-C15F031800C8}"/>
            </c:ext>
          </c:extLst>
        </c:ser>
        <c:ser>
          <c:idx val="3"/>
          <c:order val="3"/>
          <c:tx>
            <c:strRef>
              <c:f>Hoja4!$A$17</c:f>
              <c:strCache>
                <c:ptCount val="1"/>
                <c:pt idx="0">
                  <c:v>4.Fortalecimiento de sistema de salud, sistema de información, vigilancia e investigación, innovación tecnológica</c:v>
                </c:pt>
              </c:strCache>
            </c:strRef>
          </c:tx>
          <c:spPr>
            <a:solidFill>
              <a:schemeClr val="accent4"/>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Hoja4!$B$17:$G$17</c:f>
              <c:numCache>
                <c:formatCode>_("$"* #,##0.00_);_("$"* \(#,##0.00\);_("$"* "-"??_);_(@_)</c:formatCode>
                <c:ptCount val="6"/>
                <c:pt idx="0">
                  <c:v>107099.304</c:v>
                </c:pt>
                <c:pt idx="1">
                  <c:v>171282.29440000001</c:v>
                </c:pt>
                <c:pt idx="2">
                  <c:v>87099.294399999999</c:v>
                </c:pt>
                <c:pt idx="3">
                  <c:v>76850</c:v>
                </c:pt>
                <c:pt idx="4">
                  <c:v>76850</c:v>
                </c:pt>
                <c:pt idx="5">
                  <c:v>519180.89279999997</c:v>
                </c:pt>
              </c:numCache>
            </c:numRef>
          </c:val>
          <c:extLst>
            <c:ext xmlns:c16="http://schemas.microsoft.com/office/drawing/2014/chart" uri="{C3380CC4-5D6E-409C-BE32-E72D297353CC}">
              <c16:uniqueId val="{00000003-F029-4320-AE1B-C15F031800C8}"/>
            </c:ext>
          </c:extLst>
        </c:ser>
        <c:ser>
          <c:idx val="4"/>
          <c:order val="4"/>
          <c:tx>
            <c:strRef>
              <c:f>Hoja4!$A$18</c:f>
              <c:strCache>
                <c:ptCount val="1"/>
                <c:pt idx="0">
                  <c:v>5.Transición, sostenibilidad y financiamiento</c:v>
                </c:pt>
              </c:strCache>
            </c:strRef>
          </c:tx>
          <c:spPr>
            <a:solidFill>
              <a:schemeClr val="accent5"/>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Hoja4!$B$18:$G$18</c:f>
              <c:numCache>
                <c:formatCode>_("$"* #,##0.00_);_("$"* \(#,##0.00\);_("$"* "-"??_);_(@_)</c:formatCode>
                <c:ptCount val="6"/>
                <c:pt idx="0">
                  <c:v>128744.2494</c:v>
                </c:pt>
                <c:pt idx="1">
                  <c:v>133956.39920000001</c:v>
                </c:pt>
                <c:pt idx="2">
                  <c:v>80840.7886</c:v>
                </c:pt>
                <c:pt idx="3">
                  <c:v>0</c:v>
                </c:pt>
                <c:pt idx="4">
                  <c:v>0</c:v>
                </c:pt>
                <c:pt idx="5">
                  <c:v>343541.43720000004</c:v>
                </c:pt>
              </c:numCache>
            </c:numRef>
          </c:val>
          <c:extLst>
            <c:ext xmlns:c16="http://schemas.microsoft.com/office/drawing/2014/chart" uri="{C3380CC4-5D6E-409C-BE32-E72D297353CC}">
              <c16:uniqueId val="{00000004-F029-4320-AE1B-C15F031800C8}"/>
            </c:ext>
          </c:extLst>
        </c:ser>
        <c:ser>
          <c:idx val="5"/>
          <c:order val="5"/>
          <c:tx>
            <c:strRef>
              <c:f>Hoja4!$A$19</c:f>
              <c:strCache>
                <c:ptCount val="1"/>
                <c:pt idx="0">
                  <c:v>Administración y gerencia </c:v>
                </c:pt>
              </c:strCache>
            </c:strRef>
          </c:tx>
          <c:spPr>
            <a:solidFill>
              <a:schemeClr val="accent6"/>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Hoja4!$B$19:$G$19</c:f>
              <c:numCache>
                <c:formatCode>_("$"* #,##0.00_);_("$"* \(#,##0.00\);_("$"* "-"??_);_(@_)</c:formatCode>
                <c:ptCount val="6"/>
                <c:pt idx="0">
                  <c:v>998209.74</c:v>
                </c:pt>
                <c:pt idx="1">
                  <c:v>1018173.9348</c:v>
                </c:pt>
                <c:pt idx="2">
                  <c:v>1038537.4134960001</c:v>
                </c:pt>
                <c:pt idx="3">
                  <c:v>1059308.1617659202</c:v>
                </c:pt>
                <c:pt idx="4">
                  <c:v>1080494.3250012386</c:v>
                </c:pt>
                <c:pt idx="5">
                  <c:v>5194723.5750631597</c:v>
                </c:pt>
              </c:numCache>
            </c:numRef>
          </c:val>
          <c:extLst>
            <c:ext xmlns:c16="http://schemas.microsoft.com/office/drawing/2014/chart" uri="{C3380CC4-5D6E-409C-BE32-E72D297353CC}">
              <c16:uniqueId val="{00000005-F029-4320-AE1B-C15F031800C8}"/>
            </c:ext>
          </c:extLst>
        </c:ser>
        <c:ser>
          <c:idx val="6"/>
          <c:order val="6"/>
          <c:tx>
            <c:strRef>
              <c:f>Hoja4!$A$20</c:f>
              <c:strCache>
                <c:ptCount val="1"/>
                <c:pt idx="0">
                  <c:v>Total general</c:v>
                </c:pt>
              </c:strCache>
            </c:strRef>
          </c:tx>
          <c:spPr>
            <a:solidFill>
              <a:schemeClr val="accent1">
                <a:lumMod val="60000"/>
              </a:schemeClr>
            </a:solidFill>
            <a:ln>
              <a:noFill/>
            </a:ln>
            <a:effectLst/>
            <a:sp3d/>
          </c:spPr>
          <c:invertIfNegative val="0"/>
          <c:cat>
            <c:strRef>
              <c:f>Hoja4!$B$13:$G$13</c:f>
              <c:strCache>
                <c:ptCount val="6"/>
                <c:pt idx="0">
                  <c:v> Año 1</c:v>
                </c:pt>
                <c:pt idx="1">
                  <c:v> Año 2</c:v>
                </c:pt>
                <c:pt idx="2">
                  <c:v> Año 3</c:v>
                </c:pt>
                <c:pt idx="3">
                  <c:v> Año 4</c:v>
                </c:pt>
                <c:pt idx="4">
                  <c:v> Año 5</c:v>
                </c:pt>
                <c:pt idx="5">
                  <c:v>Total 5 Años</c:v>
                </c:pt>
              </c:strCache>
            </c:strRef>
          </c:cat>
          <c:val>
            <c:numRef>
              <c:f>Hoja4!$B$20:$G$20</c:f>
              <c:numCache>
                <c:formatCode>_("$"* #,##0.00_);_("$"* \(#,##0.00\);_("$"* "-"??_);_(@_)</c:formatCode>
                <c:ptCount val="6"/>
                <c:pt idx="0">
                  <c:v>19173282.1054</c:v>
                </c:pt>
                <c:pt idx="1">
                  <c:v>20112191.2337</c:v>
                </c:pt>
                <c:pt idx="2">
                  <c:v>21043548.759137001</c:v>
                </c:pt>
                <c:pt idx="3">
                  <c:v>21744925.863836497</c:v>
                </c:pt>
                <c:pt idx="4">
                  <c:v>22772072.477002811</c:v>
                </c:pt>
                <c:pt idx="5">
                  <c:v>104846020.4390763</c:v>
                </c:pt>
              </c:numCache>
            </c:numRef>
          </c:val>
          <c:extLst>
            <c:ext xmlns:c16="http://schemas.microsoft.com/office/drawing/2014/chart" uri="{C3380CC4-5D6E-409C-BE32-E72D297353CC}">
              <c16:uniqueId val="{00000006-F029-4320-AE1B-C15F031800C8}"/>
            </c:ext>
          </c:extLst>
        </c:ser>
        <c:dLbls>
          <c:showLegendKey val="0"/>
          <c:showVal val="0"/>
          <c:showCatName val="0"/>
          <c:showSerName val="0"/>
          <c:showPercent val="0"/>
          <c:showBubbleSize val="0"/>
        </c:dLbls>
        <c:gapWidth val="150"/>
        <c:shape val="box"/>
        <c:axId val="1471567376"/>
        <c:axId val="1471548656"/>
        <c:axId val="0"/>
      </c:bar3DChart>
      <c:catAx>
        <c:axId val="1471567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471548656"/>
        <c:crosses val="autoZero"/>
        <c:auto val="1"/>
        <c:lblAlgn val="ctr"/>
        <c:lblOffset val="100"/>
        <c:noMultiLvlLbl val="0"/>
      </c:catAx>
      <c:valAx>
        <c:axId val="14715486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471567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23718373955768"/>
          <c:y val="1.4858035522963232E-2"/>
          <c:w val="0.76184943114890302"/>
          <c:h val="0.56966374894936189"/>
        </c:manualLayout>
      </c:layout>
      <c:bar3DChart>
        <c:barDir val="col"/>
        <c:grouping val="clustered"/>
        <c:varyColors val="0"/>
        <c:ser>
          <c:idx val="0"/>
          <c:order val="0"/>
          <c:tx>
            <c:strRef>
              <c:f>Hoja5!$A$20</c:f>
              <c:strCache>
                <c:ptCount val="1"/>
                <c:pt idx="0">
                  <c:v>BRECHA FINANCIERA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Hoja5!$B$20:$G$20</c:f>
              <c:numCache>
                <c:formatCode>_-[$$-440A]* #,##0.00_-;\-[$$-440A]* #,##0.00_-;_-[$$-440A]* "-"??_-;_-@_-</c:formatCode>
                <c:ptCount val="6"/>
                <c:pt idx="0">
                  <c:v>40793.599999999999</c:v>
                </c:pt>
                <c:pt idx="1">
                  <c:v>543369.70000000007</c:v>
                </c:pt>
                <c:pt idx="2">
                  <c:v>65795</c:v>
                </c:pt>
                <c:pt idx="3">
                  <c:v>649266.5</c:v>
                </c:pt>
                <c:pt idx="4">
                  <c:v>633179.5</c:v>
                </c:pt>
                <c:pt idx="5">
                  <c:v>1932404.3</c:v>
                </c:pt>
              </c:numCache>
            </c:numRef>
          </c:val>
          <c:extLst>
            <c:ext xmlns:c16="http://schemas.microsoft.com/office/drawing/2014/chart" uri="{C3380CC4-5D6E-409C-BE32-E72D297353CC}">
              <c16:uniqueId val="{00000000-6749-4FF2-BA28-4B6257FD4B76}"/>
            </c:ext>
          </c:extLst>
        </c:ser>
        <c:ser>
          <c:idx val="1"/>
          <c:order val="1"/>
          <c:tx>
            <c:strRef>
              <c:f>Hoja5!$A$21</c:f>
              <c:strCache>
                <c:ptCount val="1"/>
                <c:pt idx="0">
                  <c:v>COMITÉ NACIONAL DE DOCENCIA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Hoja5!$B$21:$G$21</c:f>
              <c:numCache>
                <c:formatCode>_-[$$-440A]* #,##0.00_-;\-[$$-440A]* #,##0.00_-;_-[$$-440A]* "-"??_-;_-@_-</c:formatCode>
                <c:ptCount val="6"/>
                <c:pt idx="0">
                  <c:v>12549.12</c:v>
                </c:pt>
                <c:pt idx="1">
                  <c:v>12549.12</c:v>
                </c:pt>
                <c:pt idx="2">
                  <c:v>12549.12</c:v>
                </c:pt>
                <c:pt idx="3">
                  <c:v>12549.12</c:v>
                </c:pt>
                <c:pt idx="4">
                  <c:v>12549.12</c:v>
                </c:pt>
                <c:pt idx="5">
                  <c:v>62745.600000000006</c:v>
                </c:pt>
              </c:numCache>
            </c:numRef>
          </c:val>
          <c:extLst>
            <c:ext xmlns:c16="http://schemas.microsoft.com/office/drawing/2014/chart" uri="{C3380CC4-5D6E-409C-BE32-E72D297353CC}">
              <c16:uniqueId val="{00000001-6749-4FF2-BA28-4B6257FD4B76}"/>
            </c:ext>
          </c:extLst>
        </c:ser>
        <c:ser>
          <c:idx val="2"/>
          <c:order val="2"/>
          <c:tx>
            <c:strRef>
              <c:f>Hoja5!$A$22</c:f>
              <c:strCache>
                <c:ptCount val="1"/>
                <c:pt idx="0">
                  <c:v>DGCP</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Hoja5!$B$22:$G$22</c:f>
              <c:numCache>
                <c:formatCode>_-[$$-440A]* #,##0.00_-;\-[$$-440A]* #,##0.00_-;_-[$$-440A]* "-"??_-;_-@_-</c:formatCode>
                <c:ptCount val="6"/>
                <c:pt idx="0">
                  <c:v>1827017.84</c:v>
                </c:pt>
                <c:pt idx="1">
                  <c:v>1918368.7320000003</c:v>
                </c:pt>
                <c:pt idx="2">
                  <c:v>1986968.9826000007</c:v>
                </c:pt>
                <c:pt idx="3">
                  <c:v>2086317.431730001</c:v>
                </c:pt>
                <c:pt idx="4">
                  <c:v>2190633.303316501</c:v>
                </c:pt>
                <c:pt idx="5">
                  <c:v>10009306.289646503</c:v>
                </c:pt>
              </c:numCache>
            </c:numRef>
          </c:val>
          <c:extLst>
            <c:ext xmlns:c16="http://schemas.microsoft.com/office/drawing/2014/chart" uri="{C3380CC4-5D6E-409C-BE32-E72D297353CC}">
              <c16:uniqueId val="{00000002-6749-4FF2-BA28-4B6257FD4B76}"/>
            </c:ext>
          </c:extLst>
        </c:ser>
        <c:ser>
          <c:idx val="3"/>
          <c:order val="3"/>
          <c:tx>
            <c:strRef>
              <c:f>Hoja5!$A$23</c:f>
              <c:strCache>
                <c:ptCount val="1"/>
                <c:pt idx="0">
                  <c:v>FONDO MUNDIAL</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Hoja5!$B$23:$G$23</c:f>
              <c:numCache>
                <c:formatCode>_-[$$-440A]* #,##0.00_-;\-[$$-440A]* #,##0.00_-;_-[$$-440A]* "-"??_-;_-@_-</c:formatCode>
                <c:ptCount val="6"/>
                <c:pt idx="0">
                  <c:v>685630.48340000003</c:v>
                </c:pt>
                <c:pt idx="1">
                  <c:v>1003222.8836000001</c:v>
                </c:pt>
                <c:pt idx="2">
                  <c:v>532891.63299999991</c:v>
                </c:pt>
                <c:pt idx="3">
                  <c:v>0</c:v>
                </c:pt>
                <c:pt idx="4">
                  <c:v>0</c:v>
                </c:pt>
                <c:pt idx="5">
                  <c:v>2221745</c:v>
                </c:pt>
              </c:numCache>
            </c:numRef>
          </c:val>
          <c:extLst>
            <c:ext xmlns:c16="http://schemas.microsoft.com/office/drawing/2014/chart" uri="{C3380CC4-5D6E-409C-BE32-E72D297353CC}">
              <c16:uniqueId val="{00000003-6749-4FF2-BA28-4B6257FD4B76}"/>
            </c:ext>
          </c:extLst>
        </c:ser>
        <c:ser>
          <c:idx val="4"/>
          <c:order val="4"/>
          <c:tx>
            <c:strRef>
              <c:f>Hoja5!$A$24</c:f>
              <c:strCache>
                <c:ptCount val="1"/>
                <c:pt idx="0">
                  <c:v>FONDO MUNDIAL-UQD</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Hoja5!$B$24:$G$24</c:f>
              <c:numCache>
                <c:formatCode>_-[$$-440A]* #,##0.00_-;\-[$$-440A]* #,##0.00_-;_-[$$-440A]* "-"??_-;_-@_-</c:formatCode>
                <c:ptCount val="6"/>
                <c:pt idx="0">
                  <c:v>515635.95</c:v>
                </c:pt>
                <c:pt idx="1">
                  <c:v>242401.95</c:v>
                </c:pt>
                <c:pt idx="2">
                  <c:v>262397.3</c:v>
                </c:pt>
                <c:pt idx="3">
                  <c:v>0</c:v>
                </c:pt>
                <c:pt idx="4">
                  <c:v>0</c:v>
                </c:pt>
                <c:pt idx="5">
                  <c:v>1020435.2</c:v>
                </c:pt>
              </c:numCache>
            </c:numRef>
          </c:val>
          <c:extLst>
            <c:ext xmlns:c16="http://schemas.microsoft.com/office/drawing/2014/chart" uri="{C3380CC4-5D6E-409C-BE32-E72D297353CC}">
              <c16:uniqueId val="{00000004-6749-4FF2-BA28-4B6257FD4B76}"/>
            </c:ext>
          </c:extLst>
        </c:ser>
        <c:ser>
          <c:idx val="5"/>
          <c:order val="5"/>
          <c:tx>
            <c:strRef>
              <c:f>Hoja5!$A$25</c:f>
              <c:strCache>
                <c:ptCount val="1"/>
                <c:pt idx="0">
                  <c:v>FOSALUD</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Hoja5!$B$25:$G$25</c:f>
              <c:numCache>
                <c:formatCode>_-[$$-440A]* #,##0.00_-;\-[$$-440A]* #,##0.00_-;_-[$$-440A]* "-"??_-;_-@_-</c:formatCode>
                <c:ptCount val="6"/>
                <c:pt idx="0">
                  <c:v>338122.02</c:v>
                </c:pt>
                <c:pt idx="1">
                  <c:v>338122.02</c:v>
                </c:pt>
                <c:pt idx="2">
                  <c:v>338122.02</c:v>
                </c:pt>
                <c:pt idx="3">
                  <c:v>355028.12</c:v>
                </c:pt>
                <c:pt idx="4">
                  <c:v>372779.52000000002</c:v>
                </c:pt>
                <c:pt idx="5">
                  <c:v>1742173.7000000002</c:v>
                </c:pt>
              </c:numCache>
            </c:numRef>
          </c:val>
          <c:extLst>
            <c:ext xmlns:c16="http://schemas.microsoft.com/office/drawing/2014/chart" uri="{C3380CC4-5D6E-409C-BE32-E72D297353CC}">
              <c16:uniqueId val="{00000005-6749-4FF2-BA28-4B6257FD4B76}"/>
            </c:ext>
          </c:extLst>
        </c:ser>
        <c:ser>
          <c:idx val="6"/>
          <c:order val="6"/>
          <c:tx>
            <c:strRef>
              <c:f>Hoja5!$A$26</c:f>
              <c:strCache>
                <c:ptCount val="1"/>
                <c:pt idx="0">
                  <c:v>ISSS </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Hoja5!$B$26:$G$26</c:f>
              <c:numCache>
                <c:formatCode>_-[$$-440A]* #,##0.00_-;\-[$$-440A]* #,##0.00_-;_-[$$-440A]* "-"??_-;_-@_-</c:formatCode>
                <c:ptCount val="6"/>
                <c:pt idx="0">
                  <c:v>3205915.6599999997</c:v>
                </c:pt>
                <c:pt idx="1">
                  <c:v>3071558.54</c:v>
                </c:pt>
                <c:pt idx="2">
                  <c:v>4415785.04</c:v>
                </c:pt>
                <c:pt idx="3">
                  <c:v>4914465.5999999996</c:v>
                </c:pt>
                <c:pt idx="4">
                  <c:v>5413146.1699999999</c:v>
                </c:pt>
                <c:pt idx="5">
                  <c:v>21020871.009999998</c:v>
                </c:pt>
              </c:numCache>
            </c:numRef>
          </c:val>
          <c:extLst>
            <c:ext xmlns:c16="http://schemas.microsoft.com/office/drawing/2014/chart" uri="{C3380CC4-5D6E-409C-BE32-E72D297353CC}">
              <c16:uniqueId val="{00000006-6749-4FF2-BA28-4B6257FD4B76}"/>
            </c:ext>
          </c:extLst>
        </c:ser>
        <c:ser>
          <c:idx val="7"/>
          <c:order val="7"/>
          <c:tx>
            <c:strRef>
              <c:f>Hoja5!$A$27</c:f>
              <c:strCache>
                <c:ptCount val="1"/>
                <c:pt idx="0">
                  <c:v>MINSAL</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Hoja5!$B$27:$G$27</c:f>
              <c:numCache>
                <c:formatCode>_-[$$-440A]* #,##0.00_-;\-[$$-440A]* #,##0.00_-;_-[$$-440A]* "-"??_-;_-@_-</c:formatCode>
                <c:ptCount val="6"/>
                <c:pt idx="0">
                  <c:v>12547617.432000002</c:v>
                </c:pt>
                <c:pt idx="1">
                  <c:v>12982598.288100002</c:v>
                </c:pt>
                <c:pt idx="2">
                  <c:v>13429039.663537003</c:v>
                </c:pt>
                <c:pt idx="3">
                  <c:v>13727299.092106491</c:v>
                </c:pt>
                <c:pt idx="4">
                  <c:v>14149784.863686308</c:v>
                </c:pt>
                <c:pt idx="5">
                  <c:v>66836339.339429811</c:v>
                </c:pt>
              </c:numCache>
            </c:numRef>
          </c:val>
          <c:extLst>
            <c:ext xmlns:c16="http://schemas.microsoft.com/office/drawing/2014/chart" uri="{C3380CC4-5D6E-409C-BE32-E72D297353CC}">
              <c16:uniqueId val="{00000007-6749-4FF2-BA28-4B6257FD4B76}"/>
            </c:ext>
          </c:extLst>
        </c:ser>
        <c:ser>
          <c:idx val="8"/>
          <c:order val="8"/>
          <c:tx>
            <c:strRef>
              <c:f>Hoja5!$A$28</c:f>
              <c:strCache>
                <c:ptCount val="1"/>
                <c:pt idx="0">
                  <c:v>Total general</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Hoja5!$B$19:$G$19</c:f>
              <c:strCache>
                <c:ptCount val="6"/>
                <c:pt idx="0">
                  <c:v> Año 1</c:v>
                </c:pt>
                <c:pt idx="1">
                  <c:v> Año 2</c:v>
                </c:pt>
                <c:pt idx="2">
                  <c:v> Año 3</c:v>
                </c:pt>
                <c:pt idx="3">
                  <c:v> Año 4</c:v>
                </c:pt>
                <c:pt idx="4">
                  <c:v> Año 5</c:v>
                </c:pt>
                <c:pt idx="5">
                  <c:v>Total  5 AÑOS</c:v>
                </c:pt>
              </c:strCache>
            </c:strRef>
          </c:cat>
          <c:val>
            <c:numRef>
              <c:f>Hoja5!$B$28:$G$28</c:f>
              <c:numCache>
                <c:formatCode>_-[$$-440A]* #,##0.00_-;\-[$$-440A]* #,##0.00_-;_-[$$-440A]* "-"??_-;_-@_-</c:formatCode>
                <c:ptCount val="6"/>
                <c:pt idx="0">
                  <c:v>19173282.105400003</c:v>
                </c:pt>
                <c:pt idx="1">
                  <c:v>20112191.233700003</c:v>
                </c:pt>
                <c:pt idx="2">
                  <c:v>21043548.759137005</c:v>
                </c:pt>
                <c:pt idx="3">
                  <c:v>21744925.86383649</c:v>
                </c:pt>
                <c:pt idx="4">
                  <c:v>22772072.477002807</c:v>
                </c:pt>
                <c:pt idx="5">
                  <c:v>104846020.4390763</c:v>
                </c:pt>
              </c:numCache>
            </c:numRef>
          </c:val>
          <c:extLst>
            <c:ext xmlns:c16="http://schemas.microsoft.com/office/drawing/2014/chart" uri="{C3380CC4-5D6E-409C-BE32-E72D297353CC}">
              <c16:uniqueId val="{00000008-6749-4FF2-BA28-4B6257FD4B76}"/>
            </c:ext>
          </c:extLst>
        </c:ser>
        <c:dLbls>
          <c:showLegendKey val="0"/>
          <c:showVal val="0"/>
          <c:showCatName val="0"/>
          <c:showSerName val="0"/>
          <c:showPercent val="0"/>
          <c:showBubbleSize val="0"/>
        </c:dLbls>
        <c:gapWidth val="150"/>
        <c:shape val="box"/>
        <c:axId val="1073196191"/>
        <c:axId val="1073198591"/>
        <c:axId val="0"/>
      </c:bar3DChart>
      <c:catAx>
        <c:axId val="107319619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073198591"/>
        <c:crosses val="autoZero"/>
        <c:auto val="1"/>
        <c:lblAlgn val="ctr"/>
        <c:lblOffset val="100"/>
        <c:noMultiLvlLbl val="0"/>
      </c:catAx>
      <c:valAx>
        <c:axId val="1073198591"/>
        <c:scaling>
          <c:orientation val="minMax"/>
        </c:scaling>
        <c:delete val="0"/>
        <c:axPos val="l"/>
        <c:majorGridlines>
          <c:spPr>
            <a:ln w="9525" cap="flat" cmpd="sng" algn="ctr">
              <a:solidFill>
                <a:schemeClr val="tx1">
                  <a:lumMod val="15000"/>
                  <a:lumOff val="85000"/>
                </a:schemeClr>
              </a:solidFill>
              <a:round/>
            </a:ln>
            <a:effectLst/>
          </c:spPr>
        </c:majorGridlines>
        <c:numFmt formatCode="_-[$$-440A]* #,##0.00_-;\-[$$-440A]* #,##0.00_-;_-[$$-440A]*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07319619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Hoja6!$A$20</c:f>
              <c:strCache>
                <c:ptCount val="1"/>
                <c:pt idx="0">
                  <c:v>Asegurar servicios de tuberculosis centrados en las personas y basados en los derechos en los establecimientos de salud</c:v>
                </c:pt>
              </c:strCache>
            </c:strRef>
          </c:tx>
          <c:spPr>
            <a:solidFill>
              <a:schemeClr val="accent1"/>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Hoja6!$B$20:$G$20</c:f>
              <c:numCache>
                <c:formatCode>_-[$$-440A]* #,##0.00_-;\-[$$-440A]* #,##0.00_-;_-[$$-440A]* "-"??_-;_-@_-</c:formatCode>
                <c:ptCount val="6"/>
                <c:pt idx="0">
                  <c:v>45000</c:v>
                </c:pt>
                <c:pt idx="1">
                  <c:v>25000</c:v>
                </c:pt>
                <c:pt idx="2">
                  <c:v>25000</c:v>
                </c:pt>
                <c:pt idx="3">
                  <c:v>25875</c:v>
                </c:pt>
                <c:pt idx="4">
                  <c:v>25875</c:v>
                </c:pt>
                <c:pt idx="5">
                  <c:v>146750</c:v>
                </c:pt>
              </c:numCache>
            </c:numRef>
          </c:val>
          <c:extLst>
            <c:ext xmlns:c16="http://schemas.microsoft.com/office/drawing/2014/chart" uri="{C3380CC4-5D6E-409C-BE32-E72D297353CC}">
              <c16:uniqueId val="{00000000-2313-4C7F-A38B-7B2C59BF52CB}"/>
            </c:ext>
          </c:extLst>
        </c:ser>
        <c:ser>
          <c:idx val="1"/>
          <c:order val="1"/>
          <c:tx>
            <c:strRef>
              <c:f>Hoja6!$A$21</c:f>
              <c:strCache>
                <c:ptCount val="1"/>
                <c:pt idx="0">
                  <c:v>Colaboración con otros programas o sectores</c:v>
                </c:pt>
              </c:strCache>
            </c:strRef>
          </c:tx>
          <c:spPr>
            <a:solidFill>
              <a:schemeClr val="accent2"/>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Hoja6!$B$21:$G$21</c:f>
              <c:numCache>
                <c:formatCode>_-[$$-440A]* #,##0.00_-;\-[$$-440A]* #,##0.00_-;_-[$$-440A]* "-"??_-;_-@_-</c:formatCode>
                <c:ptCount val="6"/>
                <c:pt idx="0">
                  <c:v>1020753.86</c:v>
                </c:pt>
                <c:pt idx="1">
                  <c:v>1065718.0548</c:v>
                </c:pt>
                <c:pt idx="2">
                  <c:v>1086081.5334960001</c:v>
                </c:pt>
                <c:pt idx="3">
                  <c:v>1106852.2817659203</c:v>
                </c:pt>
                <c:pt idx="4">
                  <c:v>1128038.4450012387</c:v>
                </c:pt>
                <c:pt idx="5">
                  <c:v>5407444.1750631593</c:v>
                </c:pt>
              </c:numCache>
            </c:numRef>
          </c:val>
          <c:extLst>
            <c:ext xmlns:c16="http://schemas.microsoft.com/office/drawing/2014/chart" uri="{C3380CC4-5D6E-409C-BE32-E72D297353CC}">
              <c16:uniqueId val="{00000001-2313-4C7F-A38B-7B2C59BF52CB}"/>
            </c:ext>
          </c:extLst>
        </c:ser>
        <c:ser>
          <c:idx val="2"/>
          <c:order val="2"/>
          <c:tx>
            <c:strRef>
              <c:f>Hoja6!$A$22</c:f>
              <c:strCache>
                <c:ptCount val="1"/>
                <c:pt idx="0">
                  <c:v>Diagnóstico de la TB-DR/pruebas de sensibilidad a los fármacos (PSF)</c:v>
                </c:pt>
              </c:strCache>
            </c:strRef>
          </c:tx>
          <c:spPr>
            <a:solidFill>
              <a:schemeClr val="accent3"/>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Hoja6!$B$22:$G$22</c:f>
              <c:numCache>
                <c:formatCode>_-[$$-440A]* #,##0.00_-;\-[$$-440A]* #,##0.00_-;_-[$$-440A]* "-"??_-;_-@_-</c:formatCode>
                <c:ptCount val="6"/>
                <c:pt idx="0">
                  <c:v>98945.38</c:v>
                </c:pt>
                <c:pt idx="1">
                  <c:v>99014.94</c:v>
                </c:pt>
                <c:pt idx="2">
                  <c:v>100782.22</c:v>
                </c:pt>
                <c:pt idx="3">
                  <c:v>47880</c:v>
                </c:pt>
                <c:pt idx="4">
                  <c:v>47880</c:v>
                </c:pt>
                <c:pt idx="5">
                  <c:v>394502.54000000004</c:v>
                </c:pt>
              </c:numCache>
            </c:numRef>
          </c:val>
          <c:extLst>
            <c:ext xmlns:c16="http://schemas.microsoft.com/office/drawing/2014/chart" uri="{C3380CC4-5D6E-409C-BE32-E72D297353CC}">
              <c16:uniqueId val="{00000002-2313-4C7F-A38B-7B2C59BF52CB}"/>
            </c:ext>
          </c:extLst>
        </c:ser>
        <c:ser>
          <c:idx val="3"/>
          <c:order val="3"/>
          <c:tx>
            <c:strRef>
              <c:f>Hoja6!$A$23</c:f>
              <c:strCache>
                <c:ptCount val="1"/>
                <c:pt idx="0">
                  <c:v>Gestión de subvenciones</c:v>
                </c:pt>
              </c:strCache>
            </c:strRef>
          </c:tx>
          <c:spPr>
            <a:solidFill>
              <a:schemeClr val="accent4"/>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Hoja6!$B$23:$G$23</c:f>
              <c:numCache>
                <c:formatCode>_-[$$-440A]* #,##0.00_-;\-[$$-440A]* #,##0.00_-;_-[$$-440A]* "-"??_-;_-@_-</c:formatCode>
                <c:ptCount val="6"/>
                <c:pt idx="0">
                  <c:v>239926.0534</c:v>
                </c:pt>
                <c:pt idx="1">
                  <c:v>289590.99360000005</c:v>
                </c:pt>
                <c:pt idx="2">
                  <c:v>157436.71300000002</c:v>
                </c:pt>
                <c:pt idx="3">
                  <c:v>0</c:v>
                </c:pt>
                <c:pt idx="4">
                  <c:v>0</c:v>
                </c:pt>
                <c:pt idx="5">
                  <c:v>686953.76</c:v>
                </c:pt>
              </c:numCache>
            </c:numRef>
          </c:val>
          <c:extLst>
            <c:ext xmlns:c16="http://schemas.microsoft.com/office/drawing/2014/chart" uri="{C3380CC4-5D6E-409C-BE32-E72D297353CC}">
              <c16:uniqueId val="{00000003-2313-4C7F-A38B-7B2C59BF52CB}"/>
            </c:ext>
          </c:extLst>
        </c:ser>
        <c:ser>
          <c:idx val="4"/>
          <c:order val="4"/>
          <c:tx>
            <c:strRef>
              <c:f>Hoja6!$A$24</c:f>
              <c:strCache>
                <c:ptCount val="1"/>
                <c:pt idx="0">
                  <c:v>Poblaciones clave y vulnerables - Otros</c:v>
                </c:pt>
              </c:strCache>
            </c:strRef>
          </c:tx>
          <c:spPr>
            <a:solidFill>
              <a:schemeClr val="accent5"/>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Hoja6!$B$24:$G$24</c:f>
              <c:numCache>
                <c:formatCode>_-[$$-440A]* #,##0.00_-;\-[$$-440A]* #,##0.00_-;_-[$$-440A]* "-"??_-;_-@_-</c:formatCode>
                <c:ptCount val="6"/>
                <c:pt idx="0">
                  <c:v>375887.18599999999</c:v>
                </c:pt>
                <c:pt idx="1">
                  <c:v>347544.68</c:v>
                </c:pt>
                <c:pt idx="2">
                  <c:v>365768.114</c:v>
                </c:pt>
                <c:pt idx="3">
                  <c:v>363417.94400000002</c:v>
                </c:pt>
                <c:pt idx="4">
                  <c:v>372895.12</c:v>
                </c:pt>
                <c:pt idx="5">
                  <c:v>1825513.044</c:v>
                </c:pt>
              </c:numCache>
            </c:numRef>
          </c:val>
          <c:extLst>
            <c:ext xmlns:c16="http://schemas.microsoft.com/office/drawing/2014/chart" uri="{C3380CC4-5D6E-409C-BE32-E72D297353CC}">
              <c16:uniqueId val="{00000004-2313-4C7F-A38B-7B2C59BF52CB}"/>
            </c:ext>
          </c:extLst>
        </c:ser>
        <c:ser>
          <c:idx val="5"/>
          <c:order val="5"/>
          <c:tx>
            <c:strRef>
              <c:f>Hoja6!$A$25</c:f>
              <c:strCache>
                <c:ptCount val="1"/>
                <c:pt idx="0">
                  <c:v>Poblaciones clave y vulnerables – Personas en prisiones, cárceles o centros de detención</c:v>
                </c:pt>
              </c:strCache>
            </c:strRef>
          </c:tx>
          <c:spPr>
            <a:solidFill>
              <a:schemeClr val="accent6"/>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Hoja6!$B$25:$G$25</c:f>
              <c:numCache>
                <c:formatCode>_-[$$-440A]* #,##0.00_-;\-[$$-440A]* #,##0.00_-;_-[$$-440A]* "-"??_-;_-@_-</c:formatCode>
                <c:ptCount val="6"/>
                <c:pt idx="0">
                  <c:v>2440687.9560000002</c:v>
                </c:pt>
                <c:pt idx="1">
                  <c:v>3277256.5720000002</c:v>
                </c:pt>
                <c:pt idx="2">
                  <c:v>2566175.4426000006</c:v>
                </c:pt>
                <c:pt idx="3">
                  <c:v>2501935.2117300006</c:v>
                </c:pt>
                <c:pt idx="4">
                  <c:v>2578857.0333165014</c:v>
                </c:pt>
                <c:pt idx="5">
                  <c:v>13364912.215646503</c:v>
                </c:pt>
              </c:numCache>
            </c:numRef>
          </c:val>
          <c:extLst>
            <c:ext xmlns:c16="http://schemas.microsoft.com/office/drawing/2014/chart" uri="{C3380CC4-5D6E-409C-BE32-E72D297353CC}">
              <c16:uniqueId val="{00000005-2313-4C7F-A38B-7B2C59BF52CB}"/>
            </c:ext>
          </c:extLst>
        </c:ser>
        <c:ser>
          <c:idx val="6"/>
          <c:order val="6"/>
          <c:tx>
            <c:strRef>
              <c:f>Hoja6!$A$26</c:f>
              <c:strCache>
                <c:ptCount val="1"/>
                <c:pt idx="0">
                  <c:v>Poblaciones clave y vulnerables - Poblaciones móviles (migrantes/refugiados/desplazados internos)</c:v>
                </c:pt>
              </c:strCache>
            </c:strRef>
          </c:tx>
          <c:spPr>
            <a:solidFill>
              <a:schemeClr val="accent1">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Hoja6!$B$26:$G$26</c:f>
              <c:numCache>
                <c:formatCode>_-[$$-440A]* #,##0.00_-;\-[$$-440A]* #,##0.00_-;_-[$$-440A]* "-"??_-;_-@_-</c:formatCode>
                <c:ptCount val="6"/>
                <c:pt idx="0">
                  <c:v>5020</c:v>
                </c:pt>
                <c:pt idx="1">
                  <c:v>2500</c:v>
                </c:pt>
                <c:pt idx="2">
                  <c:v>2500</c:v>
                </c:pt>
                <c:pt idx="3">
                  <c:v>3125</c:v>
                </c:pt>
                <c:pt idx="4">
                  <c:v>3125</c:v>
                </c:pt>
                <c:pt idx="5">
                  <c:v>16270</c:v>
                </c:pt>
              </c:numCache>
            </c:numRef>
          </c:val>
          <c:extLst>
            <c:ext xmlns:c16="http://schemas.microsoft.com/office/drawing/2014/chart" uri="{C3380CC4-5D6E-409C-BE32-E72D297353CC}">
              <c16:uniqueId val="{00000006-2313-4C7F-A38B-7B2C59BF52CB}"/>
            </c:ext>
          </c:extLst>
        </c:ser>
        <c:ser>
          <c:idx val="7"/>
          <c:order val="7"/>
          <c:tx>
            <c:strRef>
              <c:f>Hoja6!$A$27</c:f>
              <c:strCache>
                <c:ptCount val="1"/>
                <c:pt idx="0">
                  <c:v>Prevención y control de infecciones</c:v>
                </c:pt>
              </c:strCache>
            </c:strRef>
          </c:tx>
          <c:spPr>
            <a:solidFill>
              <a:schemeClr val="accent2">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Hoja6!$B$27:$G$27</c:f>
              <c:numCache>
                <c:formatCode>_-[$$-440A]* #,##0.00_-;\-[$$-440A]* #,##0.00_-;_-[$$-440A]* "-"??_-;_-@_-</c:formatCode>
                <c:ptCount val="6"/>
                <c:pt idx="0">
                  <c:v>38975</c:v>
                </c:pt>
                <c:pt idx="1">
                  <c:v>38975</c:v>
                </c:pt>
                <c:pt idx="2">
                  <c:v>38975</c:v>
                </c:pt>
                <c:pt idx="3">
                  <c:v>35975</c:v>
                </c:pt>
                <c:pt idx="4">
                  <c:v>35975</c:v>
                </c:pt>
                <c:pt idx="5">
                  <c:v>188875</c:v>
                </c:pt>
              </c:numCache>
            </c:numRef>
          </c:val>
          <c:extLst>
            <c:ext xmlns:c16="http://schemas.microsoft.com/office/drawing/2014/chart" uri="{C3380CC4-5D6E-409C-BE32-E72D297353CC}">
              <c16:uniqueId val="{00000007-2313-4C7F-A38B-7B2C59BF52CB}"/>
            </c:ext>
          </c:extLst>
        </c:ser>
        <c:ser>
          <c:idx val="8"/>
          <c:order val="8"/>
          <c:tx>
            <c:strRef>
              <c:f>Hoja6!$A$28</c:f>
              <c:strCache>
                <c:ptCount val="1"/>
                <c:pt idx="0">
                  <c:v>Tamizaje y diagnóstico de la tuberculosis</c:v>
                </c:pt>
              </c:strCache>
            </c:strRef>
          </c:tx>
          <c:spPr>
            <a:solidFill>
              <a:schemeClr val="accent3">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Hoja6!$B$28:$G$28</c:f>
              <c:numCache>
                <c:formatCode>_-[$$-440A]* #,##0.00_-;\-[$$-440A]* #,##0.00_-;_-[$$-440A]* "-"??_-;_-@_-</c:formatCode>
                <c:ptCount val="6"/>
                <c:pt idx="0">
                  <c:v>1203680</c:v>
                </c:pt>
                <c:pt idx="1">
                  <c:v>1061321.98</c:v>
                </c:pt>
                <c:pt idx="2">
                  <c:v>1094035.71</c:v>
                </c:pt>
                <c:pt idx="3">
                  <c:v>1070238.0970000001</c:v>
                </c:pt>
                <c:pt idx="4">
                  <c:v>1114191.75214</c:v>
                </c:pt>
                <c:pt idx="5">
                  <c:v>5543467.53914</c:v>
                </c:pt>
              </c:numCache>
            </c:numRef>
          </c:val>
          <c:extLst>
            <c:ext xmlns:c16="http://schemas.microsoft.com/office/drawing/2014/chart" uri="{C3380CC4-5D6E-409C-BE32-E72D297353CC}">
              <c16:uniqueId val="{00000008-2313-4C7F-A38B-7B2C59BF52CB}"/>
            </c:ext>
          </c:extLst>
        </c:ser>
        <c:ser>
          <c:idx val="9"/>
          <c:order val="9"/>
          <c:tx>
            <c:strRef>
              <c:f>Hoja6!$A$29</c:f>
              <c:strCache>
                <c:ptCount val="1"/>
                <c:pt idx="0">
                  <c:v>TB/VIH - Intervenciones de colaboración</c:v>
                </c:pt>
              </c:strCache>
            </c:strRef>
          </c:tx>
          <c:spPr>
            <a:solidFill>
              <a:schemeClr val="accent4">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Hoja6!$B$29:$G$29</c:f>
              <c:numCache>
                <c:formatCode>_-[$$-440A]* #,##0.00_-;\-[$$-440A]* #,##0.00_-;_-[$$-440A]* "-"??_-;_-@_-</c:formatCode>
                <c:ptCount val="6"/>
                <c:pt idx="0">
                  <c:v>50406</c:v>
                </c:pt>
                <c:pt idx="1">
                  <c:v>50406</c:v>
                </c:pt>
                <c:pt idx="2">
                  <c:v>51664</c:v>
                </c:pt>
                <c:pt idx="3">
                  <c:v>51664</c:v>
                </c:pt>
                <c:pt idx="4">
                  <c:v>51664</c:v>
                </c:pt>
                <c:pt idx="5">
                  <c:v>255804</c:v>
                </c:pt>
              </c:numCache>
            </c:numRef>
          </c:val>
          <c:extLst>
            <c:ext xmlns:c16="http://schemas.microsoft.com/office/drawing/2014/chart" uri="{C3380CC4-5D6E-409C-BE32-E72D297353CC}">
              <c16:uniqueId val="{00000009-2313-4C7F-A38B-7B2C59BF52CB}"/>
            </c:ext>
          </c:extLst>
        </c:ser>
        <c:ser>
          <c:idx val="10"/>
          <c:order val="10"/>
          <c:tx>
            <c:strRef>
              <c:f>Hoja6!$A$30</c:f>
              <c:strCache>
                <c:ptCount val="1"/>
                <c:pt idx="0">
                  <c:v>TB/VIH - Tamizaje, realización de pruebas y diagnóstico</c:v>
                </c:pt>
              </c:strCache>
            </c:strRef>
          </c:tx>
          <c:spPr>
            <a:solidFill>
              <a:schemeClr val="accent5">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Hoja6!$B$30:$G$30</c:f>
              <c:numCache>
                <c:formatCode>_-[$$-440A]* #,##0.00_-;\-[$$-440A]* #,##0.00_-;_-[$$-440A]* "-"??_-;_-@_-</c:formatCode>
                <c:ptCount val="6"/>
                <c:pt idx="0">
                  <c:v>14600</c:v>
                </c:pt>
                <c:pt idx="1">
                  <c:v>14600</c:v>
                </c:pt>
                <c:pt idx="2">
                  <c:v>14600</c:v>
                </c:pt>
                <c:pt idx="3">
                  <c:v>17600</c:v>
                </c:pt>
                <c:pt idx="4">
                  <c:v>17600</c:v>
                </c:pt>
                <c:pt idx="5">
                  <c:v>79000</c:v>
                </c:pt>
              </c:numCache>
            </c:numRef>
          </c:val>
          <c:extLst>
            <c:ext xmlns:c16="http://schemas.microsoft.com/office/drawing/2014/chart" uri="{C3380CC4-5D6E-409C-BE32-E72D297353CC}">
              <c16:uniqueId val="{0000000A-2313-4C7F-A38B-7B2C59BF52CB}"/>
            </c:ext>
          </c:extLst>
        </c:ser>
        <c:ser>
          <c:idx val="11"/>
          <c:order val="11"/>
          <c:tx>
            <c:strRef>
              <c:f>Hoja6!$A$31</c:f>
              <c:strCache>
                <c:ptCount val="1"/>
                <c:pt idx="0">
                  <c:v>Tratamiento, atención y apoyo para la TB</c:v>
                </c:pt>
              </c:strCache>
            </c:strRef>
          </c:tx>
          <c:spPr>
            <a:solidFill>
              <a:schemeClr val="accent6">
                <a:lumMod val="6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Hoja6!$B$31:$G$31</c:f>
              <c:numCache>
                <c:formatCode>_-[$$-440A]* #,##0.00_-;\-[$$-440A]* #,##0.00_-;_-[$$-440A]* "-"??_-;_-@_-</c:formatCode>
                <c:ptCount val="6"/>
                <c:pt idx="0">
                  <c:v>13639400.67</c:v>
                </c:pt>
                <c:pt idx="1">
                  <c:v>13840263.013300002</c:v>
                </c:pt>
                <c:pt idx="2">
                  <c:v>15540530.026041005</c:v>
                </c:pt>
                <c:pt idx="3">
                  <c:v>16520363.32934057</c:v>
                </c:pt>
                <c:pt idx="4">
                  <c:v>17395971.126545072</c:v>
                </c:pt>
                <c:pt idx="5">
                  <c:v>76936528.165226638</c:v>
                </c:pt>
              </c:numCache>
            </c:numRef>
          </c:val>
          <c:extLst>
            <c:ext xmlns:c16="http://schemas.microsoft.com/office/drawing/2014/chart" uri="{C3380CC4-5D6E-409C-BE32-E72D297353CC}">
              <c16:uniqueId val="{0000000B-2313-4C7F-A38B-7B2C59BF52CB}"/>
            </c:ext>
          </c:extLst>
        </c:ser>
        <c:ser>
          <c:idx val="12"/>
          <c:order val="12"/>
          <c:tx>
            <c:strRef>
              <c:f>Hoja6!$A$32</c:f>
              <c:strCache>
                <c:ptCount val="1"/>
                <c:pt idx="0">
                  <c:v>Total general</c:v>
                </c:pt>
              </c:strCache>
            </c:strRef>
          </c:tx>
          <c:spPr>
            <a:solidFill>
              <a:schemeClr val="accent1">
                <a:lumMod val="80000"/>
                <a:lumOff val="20000"/>
              </a:schemeClr>
            </a:solidFill>
            <a:ln>
              <a:noFill/>
            </a:ln>
            <a:effectLst/>
          </c:spPr>
          <c:invertIfNegative val="0"/>
          <c:cat>
            <c:strRef>
              <c:f>Hoja6!$B$19:$G$19</c:f>
              <c:strCache>
                <c:ptCount val="6"/>
                <c:pt idx="0">
                  <c:v>Suma de Año 1</c:v>
                </c:pt>
                <c:pt idx="1">
                  <c:v>Suma de Año 2</c:v>
                </c:pt>
                <c:pt idx="2">
                  <c:v>Suma de Año 3</c:v>
                </c:pt>
                <c:pt idx="3">
                  <c:v>Suma de Año 4</c:v>
                </c:pt>
                <c:pt idx="4">
                  <c:v>Suma de Año 5</c:v>
                </c:pt>
                <c:pt idx="5">
                  <c:v>Suma de TOTAL 5 AÑOS</c:v>
                </c:pt>
              </c:strCache>
            </c:strRef>
          </c:cat>
          <c:val>
            <c:numRef>
              <c:f>Hoja6!$B$32:$G$32</c:f>
              <c:numCache>
                <c:formatCode>_-[$$-440A]* #,##0.00_-;\-[$$-440A]* #,##0.00_-;_-[$$-440A]* "-"??_-;_-@_-</c:formatCode>
                <c:ptCount val="6"/>
                <c:pt idx="0">
                  <c:v>19173282.1054</c:v>
                </c:pt>
                <c:pt idx="1">
                  <c:v>20112191.2337</c:v>
                </c:pt>
                <c:pt idx="2">
                  <c:v>21043548.759137005</c:v>
                </c:pt>
                <c:pt idx="3">
                  <c:v>21744925.86383649</c:v>
                </c:pt>
                <c:pt idx="4">
                  <c:v>22772072.477002811</c:v>
                </c:pt>
                <c:pt idx="5">
                  <c:v>104846020.4390763</c:v>
                </c:pt>
              </c:numCache>
            </c:numRef>
          </c:val>
          <c:extLst>
            <c:ext xmlns:c16="http://schemas.microsoft.com/office/drawing/2014/chart" uri="{C3380CC4-5D6E-409C-BE32-E72D297353CC}">
              <c16:uniqueId val="{0000000C-2313-4C7F-A38B-7B2C59BF52CB}"/>
            </c:ext>
          </c:extLst>
        </c:ser>
        <c:dLbls>
          <c:showLegendKey val="0"/>
          <c:showVal val="0"/>
          <c:showCatName val="0"/>
          <c:showSerName val="0"/>
          <c:showPercent val="0"/>
          <c:showBubbleSize val="0"/>
        </c:dLbls>
        <c:gapWidth val="150"/>
        <c:axId val="1466815520"/>
        <c:axId val="1466816000"/>
      </c:barChart>
      <c:catAx>
        <c:axId val="146681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466816000"/>
        <c:crosses val="autoZero"/>
        <c:auto val="1"/>
        <c:lblAlgn val="ctr"/>
        <c:lblOffset val="100"/>
        <c:noMultiLvlLbl val="0"/>
      </c:catAx>
      <c:valAx>
        <c:axId val="1466816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SV"/>
            </a:p>
          </c:txPr>
        </c:title>
        <c:numFmt formatCode="_-[$$-440A]* #,##0.00_-;\-[$$-440A]* #,##0.00_-;_-[$$-440A]*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466815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105826</xdr:colOff>
      <xdr:row>0</xdr:row>
      <xdr:rowOff>150031</xdr:rowOff>
    </xdr:from>
    <xdr:to>
      <xdr:col>21</xdr:col>
      <xdr:colOff>370115</xdr:colOff>
      <xdr:row>19</xdr:row>
      <xdr:rowOff>152399</xdr:rowOff>
    </xdr:to>
    <xdr:graphicFrame macro="">
      <xdr:nvGraphicFramePr>
        <xdr:cNvPr id="5" name="Gráfico 4">
          <a:extLst>
            <a:ext uri="{FF2B5EF4-FFF2-40B4-BE49-F238E27FC236}">
              <a16:creationId xmlns:a16="http://schemas.microsoft.com/office/drawing/2014/main" id="{550FE7EA-C78D-3ADB-7F24-513B610319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63500</xdr:colOff>
      <xdr:row>2</xdr:row>
      <xdr:rowOff>66675</xdr:rowOff>
    </xdr:from>
    <xdr:to>
      <xdr:col>17</xdr:col>
      <xdr:colOff>777875</xdr:colOff>
      <xdr:row>26</xdr:row>
      <xdr:rowOff>104774</xdr:rowOff>
    </xdr:to>
    <xdr:graphicFrame macro="">
      <xdr:nvGraphicFramePr>
        <xdr:cNvPr id="2" name="Gráfico 1">
          <a:extLst>
            <a:ext uri="{FF2B5EF4-FFF2-40B4-BE49-F238E27FC236}">
              <a16:creationId xmlns:a16="http://schemas.microsoft.com/office/drawing/2014/main" id="{3329B1FA-480D-0175-EEDB-E8E315A3D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105591</xdr:colOff>
      <xdr:row>1</xdr:row>
      <xdr:rowOff>145870</xdr:rowOff>
    </xdr:from>
    <xdr:to>
      <xdr:col>19</xdr:col>
      <xdr:colOff>402771</xdr:colOff>
      <xdr:row>27</xdr:row>
      <xdr:rowOff>97973</xdr:rowOff>
    </xdr:to>
    <xdr:graphicFrame macro="">
      <xdr:nvGraphicFramePr>
        <xdr:cNvPr id="2" name="Gráfico 1">
          <a:extLst>
            <a:ext uri="{FF2B5EF4-FFF2-40B4-BE49-F238E27FC236}">
              <a16:creationId xmlns:a16="http://schemas.microsoft.com/office/drawing/2014/main" id="{6A7F5FCD-F659-AA55-5AB8-71D4AAA22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lberto Ayala" refreshedDate="45391.466306018519" createdVersion="8" refreshedVersion="8" minRefreshableVersion="3" recordCount="100" xr:uid="{2763135F-BCAA-466E-9ECE-1BBD094E4659}">
  <cacheSource type="worksheet">
    <worksheetSource ref="A2:AG103" sheet="PRESUPUESTO DETALLADO PENM TB"/>
  </cacheSource>
  <cacheFields count="33">
    <cacheField name="MODULO" numFmtId="0">
      <sharedItems/>
    </cacheField>
    <cacheField name="INTERVENCION HM" numFmtId="0">
      <sharedItems/>
    </cacheField>
    <cacheField name="CATEGORIA DEL GASTO" numFmtId="0">
      <sharedItems containsString="0" containsBlank="1" containsNumber="1" containsInteger="1" minValue="0" maxValue="11"/>
    </cacheField>
    <cacheField name="LINEAS ESTRATEGICAS" numFmtId="0">
      <sharedItems/>
    </cacheField>
    <cacheField name="META " numFmtId="0">
      <sharedItems/>
    </cacheField>
    <cacheField name="OBJETIVOS ESTRATEGICOS" numFmtId="0">
      <sharedItems containsBlank="1" longText="1"/>
    </cacheField>
    <cacheField name="INDICADORES DEL PENM" numFmtId="0">
      <sharedItems containsBlank="1"/>
    </cacheField>
    <cacheField name="INDICADORES FM" numFmtId="0">
      <sharedItems containsBlank="1" longText="1"/>
    </cacheField>
    <cacheField name="ACTIVIDADES" numFmtId="0">
      <sharedItems longText="1"/>
    </cacheField>
    <cacheField name="POBLACION" numFmtId="0">
      <sharedItems/>
    </cacheField>
    <cacheField name="TAREAS " numFmtId="0">
      <sharedItems/>
    </cacheField>
    <cacheField name="TECNICO RESPONSABLE" numFmtId="0">
      <sharedItems/>
    </cacheField>
    <cacheField name="FF/LE" numFmtId="0">
      <sharedItems containsBlank="1"/>
    </cacheField>
    <cacheField name="ENTIDAD FINANCIADORA " numFmtId="0">
      <sharedItems/>
    </cacheField>
    <cacheField name="UNIDAD DE MEDIDA" numFmtId="0">
      <sharedItems containsBlank="1"/>
    </cacheField>
    <cacheField name="CANTIDAD" numFmtId="0">
      <sharedItems containsBlank="1" containsMixedTypes="1" containsNumber="1" minValue="0" maxValue="150000"/>
    </cacheField>
    <cacheField name="COSTO UNITARIO" numFmtId="0">
      <sharedItems containsString="0" containsBlank="1" containsNumber="1" minValue="0" maxValue="5699895.0500000007"/>
    </cacheField>
    <cacheField name="Año 1" numFmtId="166">
      <sharedItems containsString="0" containsBlank="1" containsNumber="1" minValue="0" maxValue="5699895.0500000007"/>
    </cacheField>
    <cacheField name="CANTIDAD2" numFmtId="0">
      <sharedItems containsBlank="1" containsMixedTypes="1" containsNumber="1" containsInteger="1" minValue="0" maxValue="150000"/>
    </cacheField>
    <cacheField name="COSTO UNITARIO2" numFmtId="0">
      <sharedItems containsString="0" containsBlank="1" containsNumber="1" minValue="0" maxValue="5984889.8025000012"/>
    </cacheField>
    <cacheField name="Año 2" numFmtId="166">
      <sharedItems containsSemiMixedTypes="0" containsString="0" containsNumber="1" minValue="0" maxValue="5984889.8025000012"/>
    </cacheField>
    <cacheField name="CANTIDAD3" numFmtId="0">
      <sharedItems containsBlank="1" containsMixedTypes="1" containsNumber="1" minValue="0" maxValue="150000"/>
    </cacheField>
    <cacheField name="COSTO UNITARIO3" numFmtId="0">
      <sharedItems containsString="0" containsBlank="1" containsNumber="1" minValue="0" maxValue="6284134.2926250016"/>
    </cacheField>
    <cacheField name="Año 3" numFmtId="166">
      <sharedItems containsSemiMixedTypes="0" containsString="0" containsNumber="1" minValue="0" maxValue="6284134.2926250016"/>
    </cacheField>
    <cacheField name="CANTIDAD4" numFmtId="0">
      <sharedItems containsString="0" containsBlank="1" containsNumber="1" minValue="0" maxValue="150000"/>
    </cacheField>
    <cacheField name="COSTO UNITARIO4" numFmtId="0">
      <sharedItems containsString="0" containsBlank="1" containsNumber="1" minValue="0" maxValue="6598341.0072562518"/>
    </cacheField>
    <cacheField name="Año 4" numFmtId="166">
      <sharedItems containsSemiMixedTypes="0" containsString="0" containsNumber="1" minValue="0" maxValue="6598341.0072562518"/>
    </cacheField>
    <cacheField name="CANTIDAD5" numFmtId="0">
      <sharedItems containsString="0" containsBlank="1" containsNumber="1" containsInteger="1" minValue="0" maxValue="150000"/>
    </cacheField>
    <cacheField name="COSTO UNITARIO5" numFmtId="0">
      <sharedItems containsString="0" containsBlank="1" containsNumber="1" minValue="0" maxValue="6928258.057619065"/>
    </cacheField>
    <cacheField name="Año 5" numFmtId="166">
      <sharedItems containsSemiMixedTypes="0" containsString="0" containsNumber="1" minValue="0" maxValue="6928258.057619065"/>
    </cacheField>
    <cacheField name="TOTAL 5 AÑOS" numFmtId="164">
      <sharedItems containsSemiMixedTypes="0" containsString="0" containsNumber="1" minValue="720" maxValue="31495518.210000321"/>
    </cacheField>
    <cacheField name="RESPONSABLE DE COMPRA_x000a_BIEN O SERVICIO" numFmtId="0">
      <sharedItems containsBlank="1"/>
    </cacheField>
    <cacheField name="OBSERVACIONES _x000a_QUE? CUANTO?, DONDE? PARA QUE? COMO? PARA QUIEN? _x000a_"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lberto Ayala" refreshedDate="45411.496265162037" createdVersion="8" refreshedVersion="8" minRefreshableVersion="3" recordCount="101" xr:uid="{7700573C-781B-4800-9114-49AEECE950FD}">
  <cacheSource type="worksheet">
    <worksheetSource ref="A2:AF103" sheet="PRESUPUESTO DETALLADO PENM TB"/>
  </cacheSource>
  <cacheFields count="32">
    <cacheField name="MODULO" numFmtId="0">
      <sharedItems/>
    </cacheField>
    <cacheField name="INTERVENCION HM" numFmtId="0">
      <sharedItems count="15">
        <s v="Poblaciones clave y vulnerables – Personas en prisiones, cárceles o centros de detención"/>
        <s v="Tamizaje y diagnóstico de la tuberculosis"/>
        <s v="Poblaciones clave y vulnerables - Otros"/>
        <s v="Poblaciones clave y vulnerables - Poblaciones móviles (migrantes/refugiados/desplazados internos)"/>
        <s v="Asegurar servicios de tuberculosis centrados en las personas y basados en los derechos en los establecimientos de salud"/>
        <s v="TB/VIH - Tamizaje, realización de pruebas y diagnóstico"/>
        <s v="Diagnóstico de la TB-DR/pruebas de sensibilidad a los fármacos (PSF)"/>
        <s v="Gestión de subvenciones"/>
        <s v="Colaboración con otros programas o sectores"/>
        <s v="Prevención y control de infecciones"/>
        <s v="Tratamiento, atención y apoyo para la TB"/>
        <s v="TB/VIH - Intervenciones de colaboración"/>
        <s v="Poblaciones claves y vulnerables - otros" u="1"/>
        <s v="TB/VIH Tamizaje, realización de pruebas y diagnóstico" u="1"/>
        <s v="Poblaciones clave y vulnerables – otros " u="1"/>
      </sharedItems>
    </cacheField>
    <cacheField name="CATEGORIA DEL GASTO" numFmtId="0">
      <sharedItems containsSemiMixedTypes="0" containsString="0" containsNumber="1" containsInteger="1" minValue="1" maxValue="11"/>
    </cacheField>
    <cacheField name="LINEAS ESTRATEGICAS" numFmtId="0">
      <sharedItems count="7">
        <s v="1.Abordaje oportuno de la TB en grupos de mayor riesgo y vulnerabilidad con enfoque centrado en la persona. "/>
        <s v="2. Diagnóstico y tratamiento de pacientes con tuberculosis sensible y tuberculosis drogorresistente "/>
        <s v="3.Políticas de salud, intersectorialidad, multisectorialidad, estrategia de participación comunitaria e interculturalidad. "/>
        <s v="4.Fortalecimiento de sistema de salud, sistema de información, vigilancia e investigación, innovación tecnológica"/>
        <s v="5.Transición, sostenibilidad y financiamiento"/>
        <s v="Administración y gerencia "/>
        <s v="2. Diagnóstico y tratamiento de pacientes con tuberculosis sensible y tuberculosis drogorresistente" u="1"/>
      </sharedItems>
    </cacheField>
    <cacheField name="INTERVENCIÓN PENM TB " numFmtId="0">
      <sharedItems/>
    </cacheField>
    <cacheField name="META " numFmtId="0">
      <sharedItems/>
    </cacheField>
    <cacheField name="OBJETIVOS ESTRATEGICOS" numFmtId="0">
      <sharedItems longText="1"/>
    </cacheField>
    <cacheField name="INDICADORES DEL PENM" numFmtId="0">
      <sharedItems/>
    </cacheField>
    <cacheField name="INDICADORES FM" numFmtId="0">
      <sharedItems longText="1"/>
    </cacheField>
    <cacheField name="POBLACION" numFmtId="0">
      <sharedItems/>
    </cacheField>
    <cacheField name="TAREAS " numFmtId="0">
      <sharedItems/>
    </cacheField>
    <cacheField name="TECNICO RESPONSABLE" numFmtId="0">
      <sharedItems/>
    </cacheField>
    <cacheField name="FF/LE" numFmtId="0">
      <sharedItems containsBlank="1"/>
    </cacheField>
    <cacheField name="ENTIDAD FINANCIADORA " numFmtId="0">
      <sharedItems count="8">
        <s v="MINSAL"/>
        <s v="FONDO MUNDIAL"/>
        <s v="BRECHA FINANCIERA"/>
        <s v="FONDO MUNDIAL-UQD"/>
        <s v="COMITÉ NACIONAL DE DOCENCIA"/>
        <s v="FOSALUD"/>
        <s v="ISSS "/>
        <s v="DGCP"/>
      </sharedItems>
    </cacheField>
    <cacheField name="UNIDAD DE MEDIDA" numFmtId="0">
      <sharedItems containsBlank="1"/>
    </cacheField>
    <cacheField name="CANTIDAD" numFmtId="0">
      <sharedItems containsBlank="1" containsMixedTypes="1" containsNumber="1" minValue="0" maxValue="150000"/>
    </cacheField>
    <cacheField name="COSTO UNITARIO" numFmtId="0">
      <sharedItems containsString="0" containsBlank="1" containsNumber="1" minValue="0" maxValue="5699895.0500000007"/>
    </cacheField>
    <cacheField name="Año 1" numFmtId="166">
      <sharedItems containsSemiMixedTypes="0" containsString="0" containsNumber="1" minValue="0" maxValue="5699895.0500000007"/>
    </cacheField>
    <cacheField name="CANTIDAD2" numFmtId="0">
      <sharedItems containsBlank="1" containsMixedTypes="1" containsNumber="1" containsInteger="1" minValue="0" maxValue="150000"/>
    </cacheField>
    <cacheField name="COSTO UNITARIO2" numFmtId="0">
      <sharedItems containsString="0" containsBlank="1" containsNumber="1" minValue="0" maxValue="5984889.8025000012"/>
    </cacheField>
    <cacheField name="Año 2" numFmtId="166">
      <sharedItems containsString="0" containsBlank="1" containsNumber="1" minValue="0" maxValue="5984889.8025000012"/>
    </cacheField>
    <cacheField name="CANTIDAD3" numFmtId="0">
      <sharedItems containsBlank="1" containsMixedTypes="1" containsNumber="1" minValue="0" maxValue="150000"/>
    </cacheField>
    <cacheField name="COSTO UNITARIO3" numFmtId="0">
      <sharedItems containsString="0" containsBlank="1" containsNumber="1" minValue="0" maxValue="6284134.2926250016"/>
    </cacheField>
    <cacheField name="Año 3" numFmtId="166">
      <sharedItems containsSemiMixedTypes="0" containsString="0" containsNumber="1" minValue="0" maxValue="6284134.2926250016"/>
    </cacheField>
    <cacheField name="CANTIDAD4" numFmtId="0">
      <sharedItems containsString="0" containsBlank="1" containsNumber="1" minValue="0" maxValue="150000"/>
    </cacheField>
    <cacheField name="COSTO UNITARIO4" numFmtId="0">
      <sharedItems containsString="0" containsBlank="1" containsNumber="1" minValue="0" maxValue="6598341.0072562518"/>
    </cacheField>
    <cacheField name="Año 4" numFmtId="166">
      <sharedItems containsSemiMixedTypes="0" containsString="0" containsNumber="1" minValue="0" maxValue="6598341.0072562518"/>
    </cacheField>
    <cacheField name="CANTIDAD5" numFmtId="0">
      <sharedItems containsString="0" containsBlank="1" containsNumber="1" containsInteger="1" minValue="0" maxValue="150000"/>
    </cacheField>
    <cacheField name="COSTO UNITARIO5" numFmtId="0">
      <sharedItems containsString="0" containsBlank="1" containsNumber="1" minValue="0" maxValue="6928258.057619065"/>
    </cacheField>
    <cacheField name="Año 5" numFmtId="166">
      <sharedItems containsSemiMixedTypes="0" containsString="0" containsNumber="1" minValue="0" maxValue="6928258.057619065"/>
    </cacheField>
    <cacheField name="TOTAL 5 AÑOS" numFmtId="164">
      <sharedItems containsSemiMixedTypes="0" containsString="0" containsNumber="1" minValue="720" maxValue="31495518.210000321"/>
    </cacheField>
    <cacheField name="RESPONSABLE DE COMPRA_x000a_BIEN O SERVIC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s v="Poblaciones clave y vulnerables – TB/TB-DR"/>
    <s v="Poblaciones clave y vulnerables – Personas en prisiones, cárceles o centros de detención"/>
    <n v="9"/>
    <s v="1.Abordaje oportuno de la TB en grupos de mayor riesgo y vulnerabilidad con enfoque centrado en la persona. "/>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KVP-1 Número de personas con tuberculosis (todas las formas) notificadas entre personas privadas de libertad; *solo incluye pacientes nuevos y recaídas."/>
    <s v="Implementación de  un programa continuo de monitoreo del programa de TB. dentro a las RIISS."/>
    <s v="Poblaciones de alta vulnerabilidad en PPL"/>
    <s v="Contratación de  seguro y mantenimiento Preventivos y correctivos para vehiculos y camión movil de rayos X"/>
    <s v="Lic. Gilma de Romero"/>
    <s v="MINSAL "/>
    <s v="MINSAL"/>
    <s v="C/U"/>
    <n v="1"/>
    <n v="10000"/>
    <n v="10000"/>
    <n v="1"/>
    <n v="10000"/>
    <n v="10000"/>
    <n v="1"/>
    <n v="10000"/>
    <n v="10000"/>
    <n v="1"/>
    <n v="10000"/>
    <n v="10000"/>
    <n v="1"/>
    <n v="10000"/>
    <n v="10000"/>
    <n v="50000"/>
    <s v="MINSAL"/>
    <s v="Compra de  seguro y mantenimientos para vehiculos del Programa de Tuberculosis y camión movil de rayos X."/>
  </r>
  <r>
    <s v="Poblaciones clave y vulnerables – TB/TB-DR"/>
    <s v="Poblaciones clave y vulnerables – Personas en prisiones, cárceles o centros de detención"/>
    <n v="9"/>
    <s v="1.Abordaje oportuno de la TB en grupos de mayor riesgo y vulnerabilidad con enfoque centrado en la persona. "/>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TCP-6a Número de casos de tuberculosis (en todas sus formas) notificados entre reclusos"/>
    <s v="Implementación de  un programa continuo de monitoreo del programa de TB. dentro a las RIISS."/>
    <s v="Poblaciones de alta vulnerabilidad en PPL"/>
    <s v="Contratación mantenimiento Preventivos y correctivos para equipo de rayos X de la unidad movil"/>
    <s v="Lic. William Cardoza"/>
    <s v="FM-L1"/>
    <s v="FONDO MUNDIAL"/>
    <s v="C/U"/>
    <n v="1"/>
    <n v="11000"/>
    <n v="11000"/>
    <n v="1"/>
    <n v="11000"/>
    <n v="11000"/>
    <n v="1"/>
    <n v="11000"/>
    <n v="11000"/>
    <m/>
    <n v="0"/>
    <n v="0"/>
    <m/>
    <n v="0"/>
    <n v="0"/>
    <n v="33000"/>
    <s v="PNUD"/>
    <s v="Contratación de empresa para que brinde mantenimiento preventivo y correctivo al equipo de Rayos X de la Movil. Se plantea solicitar 2 servicios al año."/>
  </r>
  <r>
    <s v="Poblaciones clave y vulnerables – TB/TB-DR"/>
    <s v="Poblaciones clave y vulnerables – Personas en prisiones, cárceles o centros de detención"/>
    <n v="9"/>
    <s v="1.Abordaje oportuno de la TB en grupos de mayor riesgo y vulnerabilidad con enfoque centrado en la persona. "/>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TCP-6a Número de casos de tuberculosis (en todas sus formas) notificados entre reclusos"/>
    <s v="Implementación de  un programa continuo de monitoreo del programa de TB. dentro a las RIISS."/>
    <s v="Poblaciones de alta vulnerabilidad en PPL"/>
    <s v="Contratación mantenimiento Preventivos y correctivos para equipo de rayos X de la unidad movil"/>
    <s v="Lic. William Cardoza"/>
    <s v="FM-L1"/>
    <s v="BRECHA FINANCIERA"/>
    <s v="C/U"/>
    <m/>
    <n v="0"/>
    <n v="0"/>
    <m/>
    <n v="0"/>
    <n v="0"/>
    <m/>
    <n v="0"/>
    <n v="0"/>
    <n v="1"/>
    <n v="11000"/>
    <n v="11000"/>
    <n v="1"/>
    <n v="11000"/>
    <n v="11000"/>
    <n v="22000"/>
    <s v="PNUD"/>
    <s v="Contratación de empresa para que brinde mantenimiento preventivo y correctivo al equipo de Rayos X de la Movil. Se plantea solicitar 2 servicios al año."/>
  </r>
  <r>
    <s v="Diagnóstico, tratamiento y atención de la TB"/>
    <s v="Tamizaje y diagnóstico de la tuberculosis"/>
    <n v="6"/>
    <s v="1.Abordaje oportuno de la TB en grupos de mayor riesgo y vulnerabilidad con enfoque centrado en la persona. "/>
    <s v="Meta 1: Detectar al menos el 90% de la incidencia de TB estimados por la OMS."/>
    <s v="1.1- Detectar oportunamente las personas con tuberculosis presuntivas, priorizando las poblaciones de mayor riesgo y vulnerabilidad."/>
    <s v="Tasa de incidencia de la tuberculosis (por cada 100.000 habitantes)"/>
    <s v="TB I-2 Tasa de incidencia de la tuberculosis por 100.000 habitantes."/>
    <s v="Gestionar la compra de equipo  de video fibrobroncoscopio mas equipo de toracoscopia para hospital de tercer nivel"/>
    <s v="Población General"/>
    <s v="Compra de equipo de video endoscopía bronquial . "/>
    <s v="Dra. Maritza Melgar. "/>
    <s v="FM-L1"/>
    <s v="BRECHA FINANCIERA"/>
    <s v="C/U"/>
    <n v="2"/>
    <n v="148300"/>
    <n v="296600"/>
    <m/>
    <m/>
    <n v="0"/>
    <m/>
    <n v="0"/>
    <n v="0"/>
    <n v="0"/>
    <n v="0"/>
    <n v="0"/>
    <m/>
    <n v="0"/>
    <n v="0"/>
    <n v="296600"/>
    <s v="OPS"/>
    <s v="Compra de dos  equipo de videobroncoscopia para ser utilizado en pacientes con TB presuntiva de dificil diagnostico que ameritan procedimientos invasivos en hospital de tercer nivel con comorbilidades como VIH, DM, IRC, colagenopatias, etc  en quienes no se puede confirmar el dx con examens no invasivos y que llegan al Hospital Nacional Rosales y Hospital Nacional Saldaña.  Se estima $ 148,300 por  equipo que incluye todos sus accesorios."/>
  </r>
  <r>
    <s v="Poblaciones clave y vulnerables – TB/TB-DR"/>
    <s v="Poblaciones clave y vulnerables – Personas en prisiones, cárceles o centros de detención"/>
    <n v="2"/>
    <s v="2. Diagnóstico y tratamiento de pacientes con tuberculosis sensible y tuberculosis drogorresistente "/>
    <s v="Meta 2.3: Cobertura de pacientes con TB con resultados de sensibilidad a medicamentos de segunda línea del 100%. _x000a_Meta 2.4: Cobertura de tratamiento con nuevos medicamentos orales para drogorresistencia 90%."/>
    <s v="2.4. - Realizar vigilancia permanente de los casos de TB drogorresistente, a través de pruebas moleculares en el SNIS para tratamiento oportuno."/>
    <s v="Porcentaje de casos notificados de TB-RR y/o TB-MDR confirmados bacteriológicamente como proporción de todos los casos estimados de TB-RR y/o TB-MDR."/>
    <s v="DRTB-2 Número de personas con TB-RR y/o TB-MDR confirmada notificado."/>
    <s v="Monitoreo, supervisión y evaluación  de la TB farmacorresistente a traves del Comité de TB Drogorresistente "/>
    <s v="Población de riesgo Privados de Libertad. (PPL)"/>
    <s v="Reuniones mensuales de monitoreo y evaluación con el comité de TB MDR, conformado por  las institucines del Sistema Nacional Integrado de Salud.  "/>
    <s v="Dra. Maritza Melgar. "/>
    <s v="FM-L1"/>
    <s v="FONDO MUNDIAL"/>
    <s v="C/U"/>
    <n v="192"/>
    <n v="25"/>
    <n v="4800"/>
    <n v="192"/>
    <n v="25"/>
    <n v="4800"/>
    <n v="192"/>
    <n v="25"/>
    <n v="4800"/>
    <m/>
    <n v="0"/>
    <n v="0"/>
    <m/>
    <n v="0"/>
    <n v="0"/>
    <n v="14400"/>
    <s v="PNUD"/>
    <s v="Reuniones mensuales de comité multisectorial de TB Farmacorresistente para la vigilancias y monitoreo de la TB resistente y seguimiento de casos , seguimiento a evaluacion internacional del Comité de Luz verde de la Region de las Americas  en el cual participan ISSS, MINSAL, Dirección General de Centros Penales. (12 reuniones con 16 participantes (total 192 por año) a un costo de $25.00 por personas , costo total por reunión de $400.00 y $4,800.00 por año)."/>
  </r>
  <r>
    <s v="Poblaciones clave y vulnerables – TB/TB-DR"/>
    <s v="Poblaciones clave y vulnerables – Personas en prisiones, cárceles o centros de detención"/>
    <n v="2"/>
    <s v="2. Diagnóstico y tratamiento de pacientes con tuberculosis sensible y tuberculosis drogorresistente "/>
    <s v="Meta 2.3: Cobertura de pacientes con TB con resultados de sensibilidad a medicamentos de segunda línea del 100%. _x000a_Meta 2.4: Cobertura de tratamiento con nuevos medicamentos orales para drogorresistencia 90%."/>
    <s v="2.4. - Realizar vigilancia permanente de los casos de TB drogorresistente, a través de pruebas moleculares en el SNIS para tratamiento oportuno."/>
    <s v="Porcentaje de casos notificados de TB-RR y/o TB-MDR confirmados bacteriológicamente como proporción de todos los casos estimados de TB-RR y/o TB-MDR."/>
    <s v="DRTB-2 Número de personas con TB-RR y/o TB-MDR confirmada notificado."/>
    <s v="Monitoreo, supervisión y evaluación  de la TB farmacorresistente a traves del Comité de TB Drogorresistente "/>
    <s v="Población de riesgo Privados de Libertad. (PPL)"/>
    <s v="Reuniones mensuales de monitoreo y evaluación con el comité de TB MDR, conformado por  las institucines del Sistema Nacional Integrado de Salud.  "/>
    <s v="Dra. Maritza Melgar. "/>
    <s v="FM-L1"/>
    <s v="BRECHA FINANCIERA"/>
    <s v="C/U"/>
    <m/>
    <n v="0"/>
    <n v="0"/>
    <m/>
    <n v="0"/>
    <n v="0"/>
    <m/>
    <n v="0"/>
    <n v="0"/>
    <n v="16"/>
    <n v="25"/>
    <n v="400"/>
    <n v="16"/>
    <n v="25"/>
    <n v="400"/>
    <n v="800"/>
    <s v="PNUD"/>
    <s v="Reuniones mensuales de comité multisectorial de TB Farmacorresistente para la vigilancias y monitoreo de la TB resistente y seguimiento de casos , seguimiento a evaluacion internacional del Comité de Luz verde de la Region de las Americas  en el cual participan ISSS, MINSAL, Dirección General de Centros Penales. (12 reuniones con 16 participantes a un costo de $25.00 por personas , costo total por reunión de $400.00)."/>
  </r>
  <r>
    <s v="Poblaciones clave y vulnerables – TB/TB-DR"/>
    <s v="Poblaciones clave y vulnerables – Personas en prisiones, cárceles o centros de detención"/>
    <n v="5"/>
    <s v="1.Abordaje oportuno de la TB en grupos de mayor riesgo y vulnerabilidad con enfoque centrado en la persona. "/>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KVP-1 Número de personas con tuberculosis (todas las formas) notificadas entre personas privadas de libertad; *solo incluye pacientes nuevos y recaídas."/>
    <s v="Compra de cajas de películas pradiográficas para toma de radiogafía de torax a grupos vulnerables (personas privadas de libertad y personas con riesgo social que tras ser identificados como SR también padezcan enfermedades como diabetes, EPOC, IRC, HTA, asma, tabaquismo  entre otros)."/>
    <s v="Población de riesgo Privados de Libertad. (PPL)"/>
    <s v="Compra de  placas para radiografias de torax."/>
    <s v="Lic. William Cardoza"/>
    <s v="FM-L1"/>
    <s v="FONDO MUNDIAL"/>
    <s v="C/U"/>
    <n v="19200"/>
    <n v="2.5"/>
    <n v="48000"/>
    <n v="0"/>
    <n v="0"/>
    <n v="0"/>
    <n v="0"/>
    <n v="0"/>
    <n v="0"/>
    <n v="0"/>
    <n v="0"/>
    <n v="0"/>
    <n v="0"/>
    <n v="0"/>
    <n v="0"/>
    <n v="48000"/>
    <s v="PNUD"/>
    <s v="Se comprara placas radiograficas para la toma de  radiografias a privados de libertad con sospecha de padecer tuberculosis pulmonar o extrapulmonar de los  centros penales,  asi como a otros grupos de riesgo social que sean  identificados con Tuberculosis presuntiva ; se plantean comprar 19,000 placas a un costo de $2.50 cada placa.                   "/>
  </r>
  <r>
    <s v="Poblaciones clave y vulnerables – TB/TB-DR"/>
    <s v="Poblaciones clave y vulnerables - Otros"/>
    <n v="5"/>
    <s v="1.Abordaje oportuno de la TB en grupos de mayor riesgo y vulnerabilidad con enfoque centrado en la persona. "/>
    <s v="Meta 1.4: Tamizar con glucometría al menos al 85% del total de los casos notificados de TB. "/>
    <s v="1.1- Detectar oportunamente las personas con tuberculosis presuntivas, priorizando las poblaciones de mayor riesgo y vulnerabilidad."/>
    <s v="Porcentaje de casos de TB todas las formas tamizadas con glucometría."/>
    <s v="KVP-2 Número de personas con tuberculosis (todas las formas) notificadas entre las poblaciones clave/grupos de alto riesgo (distintos de personas privadas de libertad); *solo incluye pacientes nuevos y recaídas."/>
    <s v="Compra de Glucometros portatiles, lancetas y tiras reactivas  para  verificar la glicemia en  personas con TB y diagnosticar o descartar  DM."/>
    <s v="Población comorbilidad Diabeticos"/>
    <s v="Compra de glucometros;  lancetas (caja de 100) ; tiras reactivas, para  establecimientos de salud y Centros Penales.     "/>
    <s v="Dr. Mario Soto"/>
    <s v="FM-L1"/>
    <s v="FONDO MUNDIAL"/>
    <s v="cada una"/>
    <n v="1"/>
    <n v="57000"/>
    <n v="57000"/>
    <n v="1"/>
    <n v="28500"/>
    <n v="28500"/>
    <n v="1"/>
    <n v="46251"/>
    <n v="46251"/>
    <m/>
    <n v="0"/>
    <n v="0"/>
    <m/>
    <n v="0"/>
    <n v="0"/>
    <n v="131751"/>
    <s v="PNUD"/>
    <s v="Se tiene programado comprar glucometro. Tiras reactivas y lancetas para los años 1, 3 y 5. Para los años 2 y 4 solo se contempla la compra de tiras reactivas y lancetas, los cuales serán distribuids en los estableciimentos de salud de primer y segundo nivel de atención y en centros penitenciarios  "/>
  </r>
  <r>
    <s v="Poblaciones clave y vulnerables – TB/TB-DR"/>
    <s v="Poblaciones clave y vulnerables - Otros"/>
    <n v="5"/>
    <s v="1.Abordaje oportuno de la TB en grupos de mayor riesgo y vulnerabilidad con enfoque centrado en la persona. "/>
    <s v="Meta 1.4: Tamizar con glucometría al menos al 85% del total de los casos notificados de TB. "/>
    <s v="1.1- Detectar oportunamente las personas con tuberculosis presuntivas, priorizando las poblaciones de mayor riesgo y vulnerabilidad."/>
    <s v="Porcentaje de casos de TB todas las formas tamizadas con glucometría."/>
    <s v="KVP-2 Número de personas con tuberculosis (todas las formas) notificadas entre las poblaciones clave/grupos de alto riesgo (distintos de personas privadas de libertad); *solo incluye pacientes nuevos y recaídas."/>
    <s v="Compra de Glucometros portatiles, lancetas y tiras reactivas  para  verificar la glicemia en  personas con TB y diagnosticar o descartar  DM."/>
    <s v="Población comorbilidad Diabeticos"/>
    <s v="Compra de  500 glucometros a un costo de $ 48,50, 600 lancetas (caja de 100) a un costo de $ 36,09, y 700 tiras reactivas (caja por 50 unidades) a un costo de $ 30,00  para  establecimientos de salud y Centros Penales     "/>
    <s v="Dr. Mario Soto"/>
    <m/>
    <s v="BRECHA FINANCIERA"/>
    <s v="cada una"/>
    <m/>
    <n v="0"/>
    <n v="0"/>
    <m/>
    <n v="0"/>
    <n v="0"/>
    <m/>
    <n v="0"/>
    <n v="0"/>
    <n v="700"/>
    <n v="66.09"/>
    <n v="46263"/>
    <n v="500"/>
    <n v="114"/>
    <n v="57000"/>
    <n v="103263"/>
    <s v="PNUD"/>
    <s v="Se tiene programado comprar glucometro. Tiras reactivas y lancetas para los años 1, 3 y 5. Para los años 2 y 4 solo se contempla la compra de tiras reactivas y lancetas, los cuales serán distribuids en los estableciimentos de salud de primer y segundo nivel de atención y en centros penitenciarios  "/>
  </r>
  <r>
    <s v="Poblaciones clave y vulnerables – TB/TB-DR"/>
    <s v="Poblaciones clave y vulnerables - Poblaciones móviles (migrantes/refugiados/desplazados internos)"/>
    <n v="5"/>
    <s v="3.Políticas de salud, intersectorialidad, multisectorialidad, estrategia de participación comunitaria e interculturalidad. "/>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Realizar actividades de control de TB en zonas fronterizas para la captación, tratamiento y referencia  de casos, en coordinación con las oficina Sanitaria internacional"/>
    <s v="Migrantes y poblaciones moviles"/>
    <s v="Compra de termos kenseller  necesarios para la captacion y conservación de muestras (cadena de frío) para OSI"/>
    <s v="Lic. Bessy Velis "/>
    <m/>
    <s v="FONDO MUNDIAL"/>
    <s v="C/U"/>
    <n v="6"/>
    <n v="120"/>
    <n v="720"/>
    <n v="0"/>
    <n v="0"/>
    <n v="0"/>
    <m/>
    <m/>
    <n v="0"/>
    <m/>
    <m/>
    <n v="0"/>
    <m/>
    <m/>
    <n v="0"/>
    <n v="720"/>
    <s v="PNUD"/>
    <s v="compra de termos keen seller para conservación y transporte de muestras de las OSI (clínicas de las Oficinas Sanitarias Internacionales) al establecimiento de salud mas cercano."/>
  </r>
  <r>
    <s v="Poblaciones clave y vulnerables – TB/TB-DR"/>
    <s v="Poblaciones clave y vulnerables - Poblaciones móviles (migrantes/refugiados/desplazados internos)"/>
    <n v="2"/>
    <s v="3.Políticas de salud, intersectorialidad, multisectorialidad, estrategia de participación comunitaria e interculturalidad. "/>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Realizar actividades de control de TB en zonas fronterizas para la captación, tratamiento y referencia  de casos, en coordinación con las oficina Sanitaria internacional"/>
    <s v="Migrantes y poblaciones moviles"/>
    <s v="Formación de personal Multidisciplinario del sistema de salud en monitoreo y evaluación de información epidemiológica clínica y programatica que brindan atención a migrantes."/>
    <s v="Lic. Bessy Velis "/>
    <s v="FM-L1"/>
    <s v="FONDO MUNDIAL"/>
    <s v="Atención de salud"/>
    <n v="100"/>
    <n v="25"/>
    <n v="2500"/>
    <n v="100"/>
    <n v="25"/>
    <n v="2500"/>
    <n v="100"/>
    <n v="25"/>
    <n v="2500"/>
    <m/>
    <n v="0"/>
    <n v="0"/>
    <m/>
    <n v="0"/>
    <n v="0"/>
    <n v="7500"/>
    <s v="PNUD"/>
    <s v="Contratación de servicios de alimentacion para realizar una capacitación y una evaluación con 25 personas por zonas fronterizas (2 grupos de 25 personas cada 6 meses) para evaluar semestralmente al personal médico y enfermería de los establecimientos de salud interfronterizos, para la identificación y seguimiento  de SR y casos en personas retornadas y migrantes y población móvil."/>
  </r>
  <r>
    <s v="Poblaciones clave y vulnerables – TB/TB-DR"/>
    <s v="Poblaciones clave y vulnerables - Poblaciones móviles (migrantes/refugiados/desplazados internos)"/>
    <n v="2"/>
    <s v="3.Políticas de salud, intersectorialidad, multisectorialidad, estrategia de participación comunitaria e interculturalidad. "/>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Realizar actividades de control de TB en zonas fronterizas para la captación, tratamiento y referencia  de casos, en coordinación con las oficina Sanitaria internacional"/>
    <s v="Migrantes y poblaciones moviles"/>
    <s v="Formación de personal Multidisciplinario del sistema de salud en monitoreo y evaluación de información epidemiológica clínica y programatica que brindan atención a migrantes."/>
    <s v="Lic. Bessy Velis "/>
    <s v="FM-L1"/>
    <s v="BRECHA FINANCIERA"/>
    <s v="Atención de salud"/>
    <m/>
    <n v="0"/>
    <n v="0"/>
    <m/>
    <n v="0"/>
    <n v="0"/>
    <m/>
    <n v="0"/>
    <n v="0"/>
    <n v="125"/>
    <n v="25"/>
    <n v="3125"/>
    <n v="125"/>
    <n v="25"/>
    <n v="3125"/>
    <n v="6250"/>
    <s v="PNUD"/>
    <s v="Contratación de servicios de alimentacion para realizar una capacitación y una evaluación con 25 personas por zonas fronterizas (3 grupos de 25 personas cada 6 meses) para evaluar semestralmente al personal médico y enfermería de los establecimientos de salud interfronterizos, para la identificación y seguimiento  de SR y casos en personas retornadas y migrantes y población móvil."/>
  </r>
  <r>
    <s v="Poblaciones clave y vulnerables – TB/TB-DR"/>
    <s v="Poblaciones clave y vulnerables - Poblaciones móviles (migrantes/refugiados/desplazados internos)"/>
    <n v="9"/>
    <s v="3.Políticas de salud, intersectorialidad, multisectorialidad, estrategia de participación comunitaria e interculturalidad. "/>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Realizar actividades de control de TB en zonas fronterizas para la captación, tratamiento y referencia  de casos, en coordinación con las oficina Sanitaria internacional"/>
    <s v="Migrantes y poblaciones moviles"/>
    <s v="Compra de  refrigeradoras para Unidades de salud de Oficinas sanitarias internacionales (OSI)"/>
    <s v="Lic. Bessy Velis "/>
    <m/>
    <s v="FONDO MUNDIAL"/>
    <m/>
    <n v="6"/>
    <n v="300"/>
    <n v="1800"/>
    <n v="0"/>
    <n v="0"/>
    <n v="0"/>
    <m/>
    <m/>
    <n v="0"/>
    <m/>
    <n v="0"/>
    <n v="0"/>
    <m/>
    <m/>
    <n v="0"/>
    <n v="1800"/>
    <s v="PNUD"/>
    <s v="Compra de refrigeradoras  para conservación de muestras de las OSI (clínicas de las Oficinas Sanitarias Internacionales) al establecimiento de salud mas cercano."/>
  </r>
  <r>
    <s v="Eliminar los obstáculos relacionados con los derechos humanos y el género que dificultan el acceso a los servicios de tuberculosis"/>
    <s v="Asegurar servicios de tuberculosis centrados en las personas y basados en los derechos en los establecimientos de salud"/>
    <n v="10"/>
    <s v="1.Abordaje oportuno de la TB en grupos de mayor riesgo y vulnerabilidad con enfoque centrado en la persona. "/>
    <s v="Meta 1.7: Implementar campañas informativas y educativas para aumentar el conocimiento en la población sobre contenidos de TB, prioritariamente en grupos de mayor riesgo y vulnerabilidad. "/>
    <s v="1.1- Detectar oportunamente las personas con tuberculosis presuntivas, priorizando las poblaciones de mayor riesgo y vulnerabilidad."/>
    <s v="Número de campañas informativas y educativas desarrolladas en las cinco regiones de salud"/>
    <s v="TB I-2 : Tasa de incidencia de TB por 100 000 habitantes."/>
    <s v="Desarrollo de campaña para la difusion de mensajes sobre TB a través de medios Digitales incluyendo la promocion de derechos y deberes de las personas con TB, TB/VIH, estigma y discriminación. "/>
    <s v="Población General"/>
    <s v="Contratación de una empresa para el diseño y/o  difusión de mensajes a través de medios digitales"/>
    <s v="Lic Claudia Solorzano"/>
    <s v="FM-L1"/>
    <s v="FONDO MUNDIAL-UQD"/>
    <s v="C/U"/>
    <n v="1"/>
    <n v="10000"/>
    <n v="10000"/>
    <n v="1"/>
    <n v="10000"/>
    <n v="10000"/>
    <n v="1"/>
    <n v="10000"/>
    <n v="10000"/>
    <n v="0"/>
    <m/>
    <n v="0"/>
    <n v="1"/>
    <n v="0"/>
    <n v="0"/>
    <n v="30000"/>
    <s v="PNUD"/>
    <s v="Es necesario contratar servicios de publicidad para desarrollar una campaña de informacion y educacion a través de medios de comunicacion colectiva (radio, televisión, medios digitales) con la finalidad de llevar mensajes de tuberculosis a la poblacion, principalmente a la que no demanda atención en los establecimientos de salud y asi captar sintomaticos respiratorios para realizar diagnosticos precoz y tratamiento oportuno de casos. Ver anexo plan de compras. Los años 4 y 5 quedan como brecha financiera."/>
  </r>
  <r>
    <s v="Eliminar los obstáculos relacionados con los derechos humanos y el género que dificultan el acceso a los servicios de tuberculosis"/>
    <s v="Asegurar servicios de tuberculosis centrados en las personas y basados en los derechos en los establecimientos de salud"/>
    <n v="3"/>
    <s v="1.Abordaje oportuno de la TB en grupos de mayor riesgo y vulnerabilidad con enfoque centrado en la persona. "/>
    <s v="Meta 1.7: Implementar campañas informativas y educativas para aumentar el conocimiento en la población sobre contenidos de TB, prioritariamente en grupos de mayor riesgo y vulnerabilidad. "/>
    <s v="1.1- Detectar oportunamente las personas con tuberculosis presuntivas, priorizando las poblaciones de mayor riesgo y vulnerabilidad."/>
    <s v="Número de campañas informativas y educativas desarrolladas en las cinco regiones de salud"/>
    <s v="TB I-2 : Tasa de incidencia de TB por 100 000 habitantes."/>
    <s v="Desarrollo de campaña para la difusion de mensajes sobre TB a través de medios Digitales incluyendo la promocion de derechos y deberes de las personas con TB, TB/VIH, estigma y discriminación. "/>
    <s v="Población General"/>
    <s v="Contratación de una empresa para el diseño y/o  difusión de mensajes a través de medios digitales"/>
    <s v="Lic Claudia Solorzano"/>
    <s v="L1"/>
    <s v="BRECHA FINANCIERA"/>
    <m/>
    <n v="0"/>
    <n v="0"/>
    <n v="0"/>
    <n v="0"/>
    <n v="0"/>
    <n v="0"/>
    <n v="0"/>
    <n v="0"/>
    <n v="0"/>
    <n v="1"/>
    <n v="10000"/>
    <n v="10000"/>
    <n v="1"/>
    <n v="10000"/>
    <n v="10000"/>
    <n v="20000"/>
    <s v="PNUD"/>
    <s v="Es necesario contratar servicios de publicidad para desarrollar una campaña de informacion y educacion a través de medios de comunicacion colectiva (radio, televisión, medios digitales) con la finalidad de llevar mensajes de tuberculosis a la poblacion, principalmente a la que no demanda atención en los establecimientos de salud y asi captar sintomaticos respiratorios para realizar diagnosticos precoz y tratamiento oportuno de casos. Ver anexo plan de compras. "/>
  </r>
  <r>
    <s v="Eliminar los obstáculos relacionados con los derechos humanos y el género que dificultan el acceso a los servicios de tuberculosis"/>
    <s v="Asegurar servicios de tuberculosis centrados en las personas y basados en los derechos en los establecimientos de salud"/>
    <n v="2"/>
    <s v="4.Fortalecimiento de sistema de salud, sistema de información, vigilancia e investigación, innovación tecnológica"/>
    <s v="Meta 1: Detectar al menos el 90% de la incidencia de TB estimados por la OMS."/>
    <s v="1.1- Detectar oportunamente las personas con tuberculosis presuntivas, priorizando las poblaciones de mayor riesgo y vulnerabilidad."/>
    <s v="Tasa de incidencia de tuberculosis por cada 100,000 habitantes (&amp;)"/>
    <s v="TB I-2 Tasa de incidencia de la tuberculosis por 100.000 habitantes. "/>
    <s v="Mantener y fortalecer la vigilancia epidemiológica de la TB , coinfección TB/VIH, Comorbilidad TB/DM,  en todos los niveles de atención (Nacional, Regional e Intrahospitalarios)."/>
    <s v="Todas las poblaciones"/>
    <s v="Formación de personal Multidisciplinario del sistema de salud en monitoreo y evaluación de información epidemiológica clínica y programatica para personal de salud de las diferentes regiones y SIBASI. "/>
    <s v="Dr. Mario Soto"/>
    <s v="FM-L1"/>
    <s v="FONDO MUNDIAL"/>
    <s v="cada una"/>
    <n v="600"/>
    <n v="25"/>
    <n v="15000"/>
    <n v="600"/>
    <n v="25"/>
    <n v="15000"/>
    <n v="600"/>
    <n v="25"/>
    <n v="15000"/>
    <m/>
    <n v="0"/>
    <n v="0"/>
    <m/>
    <n v="0"/>
    <n v="0"/>
    <n v="45000"/>
    <s v="PNUD"/>
    <s v="Se contratara servicios de alimentación con local para las reuniones de monitoreo y evaluación de indicadores: reunión de equipos de estrategias en PPL, TB-Diabetes, Grandes Ciudades, ENGAGE TB y  coinfección TB/VIH ; para  Regiones de salud, hospitales de la red nacional, equipos multidisciplinarios."/>
  </r>
  <r>
    <s v="Eliminar los obstáculos relacionados con los derechos humanos y el género que dificultan el acceso a los servicios de tuberculosis"/>
    <s v="Asegurar servicios de tuberculosis centrados en las personas y basados en los derechos en los establecimientos de salud"/>
    <n v="2"/>
    <s v="4.Fortalecimiento de sistema de salud, sistema de información, vigilancia e investigación, innovación tecnológica"/>
    <s v="Meta 1: Detectar al menos el 90% de la incidencia de TB estimados por la OMS."/>
    <s v="1.1- Detectar oportunamente las personas con tuberculosis presuntivas, priorizando las poblaciones de mayor riesgo y vulnerabilidad."/>
    <s v="Tasa de incidencia de tuberculosis por cada 100,000 habitantes (&amp;)"/>
    <s v="TB I-2 Tasa de incidencia de la tuberculosis por 100.000 habitantes. "/>
    <s v="Mantener y fortalecer la vigilancia epidemiológica de la TB , coinfección TB/VIH, Comorbilidad TB/DM,  en todos los niveles de atención (Nacional, Regional e Intrahospitalarios)."/>
    <s v="Todas las poblaciones"/>
    <s v="Formación de personal Multidisciplinario del sistema de salud en monitoreo y evaluación de información epidemiológica clínica y programatica para personal de salud de las diferentes regiones y SIBASI."/>
    <s v="Dr. Mario Soto"/>
    <s v="FM-L1"/>
    <s v="BRECHA FINANCIERA"/>
    <s v="cada una"/>
    <m/>
    <n v="0"/>
    <n v="0"/>
    <m/>
    <n v="0"/>
    <n v="0"/>
    <m/>
    <n v="0"/>
    <n v="0"/>
    <n v="635"/>
    <n v="25"/>
    <n v="15875"/>
    <n v="635"/>
    <n v="25"/>
    <n v="15875"/>
    <n v="31750"/>
    <s v="PNUD"/>
    <s v="Se contratara servicios de alimentación con local para las reuniones de monitoreo y evaluación de indicadores: reunión de equipos de estrategias  PPL, TB-Diabetes, Grandes Ciudades, ENGAGE TB y  coinfección TB/VIH ; para  Regiones de salud, hospitales de la red nacional, equipos multidisciplinarios."/>
  </r>
  <r>
    <s v="TB/VIH"/>
    <s v="TB/VIH - Tamizaje, realización de pruebas y diagnóstico"/>
    <n v="5"/>
    <s v="1.Abordaje oportuno de la TB en grupos de mayor riesgo y vulnerabilidad con enfoque centrado en la persona. "/>
    <s v="Meta 4: Tasa de mortalidad por TB menor a 0.9 por 100,000 habitantes. "/>
    <s v="1.4- Disminuir la mortalidad por coinfección TB/VIH a través de intervenciones oportunas."/>
    <s v="Tasa de mortalidad por tuberculosis (por cada 100.000 habitantes)"/>
    <s v="TB I-3: Tasa de mortalidad de la TB por 100 000 habitantes"/>
    <s v="Intensificar en  la RIISS búsqueda activa y sistemática de casos de TB en personas con VIH  para proporcionar un tratamiento para la TB de forma oportuna"/>
    <s v="Poblaciones de más alto riesgo persona con VIH"/>
    <s v="Compra de pruebas de TB LAM Ag, para diagnostico poblaciones de más alto riesgo persona con VIH "/>
    <s v="Dr. Gilberto Ayala"/>
    <s v="FM-L1"/>
    <s v="FONDO MUNDIAL"/>
    <s v="cada una"/>
    <n v="800"/>
    <n v="10"/>
    <n v="8000"/>
    <n v="800"/>
    <n v="10"/>
    <n v="8000"/>
    <n v="800"/>
    <n v="10"/>
    <n v="8000"/>
    <n v="0"/>
    <n v="0"/>
    <n v="0"/>
    <n v="0"/>
    <n v="0"/>
    <n v="0"/>
    <n v="24000"/>
    <s v="OPS"/>
    <s v="Se comprara 7500 pruebas TB LAM Ag, por años por 3 años, se distribuira en los 30 hospitales de la Red Nacional, como prueba de apoyo diagnóstica de TB en pacientes VIH, con comorbilidad o de dificil diagnóstico. 4,000 pruebas , a un costo de $10.00 "/>
  </r>
  <r>
    <s v="TB/VIH"/>
    <s v="TB/VIH - Tamizaje, realización de pruebas y diagnóstico"/>
    <n v="5"/>
    <s v="1.Abordaje oportuno de la TB en grupos de mayor riesgo y vulnerabilidad con enfoque centrado en la persona. "/>
    <s v="Meta 4: Tasa de mortalidad por TB menor a 0.9 por 100,000 habitantes. "/>
    <s v="1.4- Disminuir la mortalidad por coinfección TB/VIH a través de intervenciones oportunas."/>
    <s v="Tasa de mortalidad por tuberculosis (por cada 100.000 habitantes)"/>
    <s v="TB I-3: Tasa de mortalidad de la TB por 100 000 habitantes"/>
    <s v="Intensificar en  la RIISS búsqueda activa y sistemática de casos de TB en personas con VIH  para proporcionar un tratamiento para la TB de forma oportuna"/>
    <s v="Poblaciones de más alto riesgo persona con VIH"/>
    <s v="Compra de pruebas de TB LAM Ag, para diagnostico poblaciones de más alto riesgo persona con VIH "/>
    <s v="Dr. Gilberto Ayala"/>
    <s v="FM-L1"/>
    <s v="BRECHA FINANCIERA"/>
    <s v="cada una"/>
    <n v="0"/>
    <n v="0"/>
    <n v="0"/>
    <n v="0"/>
    <n v="0"/>
    <n v="0"/>
    <n v="0"/>
    <n v="0"/>
    <n v="0"/>
    <n v="800"/>
    <n v="10"/>
    <n v="8000"/>
    <n v="800"/>
    <n v="10"/>
    <n v="8000"/>
    <n v="16000"/>
    <s v="OPS"/>
    <s v="Se comprara 7500 pruebas TB LAM Ag, por años por 3 años, se distribuira en los 30 hospitales de la Red Nacional, como prueba de apoyo diagnóstica de TB en pacientes VIH, con comorbilidad o de dificil diagnóstico. 4,000 pruebas , a un costo de $10.00 "/>
  </r>
  <r>
    <s v="Diagnóstico, tratamiento y atención de la TB"/>
    <s v="Tamizaje y diagnóstico de la tuberculosis"/>
    <n v="5"/>
    <s v="2. Diagnóstico y tratamiento de pacientes con tuberculosis sensible y tuberculosis drogorresistente "/>
    <s v="Meta 2.2: Porcentaje de pacientes de TB que fueron diagnosticados a través de pruebas bacteriológicas 75%. "/>
    <s v="2.6. aumentar la capacidad instalada para realizar cultivos, tipificación,, resistencia y control de calidad de drogas"/>
    <s v="Número de casos de tuberculosis confirmados bacteriológicamente (microscopía, pruebas moleculares y cultivo)en el periodo a evaluar"/>
    <s v="TB I-2 : Tasa de incidencia de TB por 100 000 habitantes."/>
    <s v="2.6.1. Ampliar y equipar la red de diagnóstico de tuberculosis, con acceso a cultivo,  microscopia y pruebas moleculares. "/>
    <s v="Poblacion General / otras poblaciones de alto riesgo"/>
    <s v="Compra de frascos para muestras de esputo, para pruebas moleculares, BK y cultivos para pruebas en población general y otras poblaciones de riesgo (no PPL)"/>
    <s v="Lic. Rene Guevara"/>
    <s v="FM-L2"/>
    <s v="MINSAL"/>
    <s v="C/U"/>
    <n v="150000"/>
    <n v="0.2"/>
    <n v="30000"/>
    <n v="150000"/>
    <n v="0.2"/>
    <n v="30000"/>
    <n v="150000"/>
    <n v="0.2"/>
    <n v="30000"/>
    <n v="150000"/>
    <n v="0.2"/>
    <n v="30000"/>
    <n v="150000"/>
    <n v="0.2"/>
    <n v="30000"/>
    <n v="150000"/>
    <s v="PNUD"/>
    <s v="La compra de frascos para la captación de sintomatico respiratorio de nivel nacional incluyendo a centros penales.  _x000a_Los frascos es el insumo necesario para poder obtener las muestras de las personas sugestivas de TB endenpendiente del metodo diagnostico y control de trataniento a utilizar; ya sea basiloscopia, prueba molecular o cultivo. Se utilizaran en grupos de mayor riesgos PPL."/>
  </r>
  <r>
    <s v="Poblaciones clave y vulnerables – TB/TB-DR"/>
    <s v="Poblaciones clave y vulnerables – Personas en prisiones, cárceles o centros de detención"/>
    <n v="5"/>
    <s v="2. Diagnóstico y tratamiento de pacientes con tuberculosis sensible y tuberculosis drogorresistente "/>
    <s v="Meta 2.2: Porcentaje de pacientes de TB que fueron diagnosticados a través de pruebas bacteriológicas 75%. "/>
    <s v="2.6. aumentar la capacidad instalada para realizar cultivos, tipificación,, resistencia y control de calidad de drogas"/>
    <s v="Número de casos de tuberculosis confirmados bacteriológicamente (microscopía, pruebas moleculares y cultivo)en el periodo a evaluar"/>
    <s v="TB I-2 : Tasa de incidencia de TB por 100 000 habitantes."/>
    <s v="2.6.1. Ampliar y equipar la red de diagnóstico de tuberculosis, con acceso a cultivo,  microscopia y pruebas moleculares. "/>
    <s v="Población de riesgo Privados de Libertad. (PPL)"/>
    <s v="Compra de frascos para muestras de esputo, para pruebas moleculares, BK y cultivo; para pruebas en poblaciones de alta vulnerabilidad en PPL."/>
    <s v="Lic. Rene Guevara"/>
    <s v="FM-L2"/>
    <s v="FONDO MUNDIAL"/>
    <s v="C/U"/>
    <n v="50000"/>
    <n v="0.2"/>
    <n v="10000"/>
    <n v="50000"/>
    <n v="0.2"/>
    <n v="10000"/>
    <n v="50000"/>
    <n v="0.2"/>
    <n v="10000"/>
    <m/>
    <n v="0"/>
    <n v="0"/>
    <m/>
    <n v="0"/>
    <n v="0"/>
    <n v="30000"/>
    <s v="PNUD"/>
    <s v="La compra de frascos para la captación de sintomatico respiratorio de nivel nacional incluyendo a centros penales.  _x000a_Los frascos es el insumo necesario para poder obtener las muestras de las personas sugestivas de TB endenpendiente del metodo diagnostico y control de trataniento a utilizar; ya sea basiloscopia, prueba molecular o cultivo. Se utilizaran en grupos de mayor riesgos PPL."/>
  </r>
  <r>
    <s v="Diagnóstico, tratamiento y atención de la TB"/>
    <s v="Diagnóstico de la TB-DR/pruebas de sensibilidad a los fármacos (PSF)"/>
    <n v="5"/>
    <s v="2. Diagnóstico y tratamiento de pacientes con tuberculosis sensible y tuberculosis drogorresistente "/>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2  Número de personas con TB-RR y/o TB-MDR confirmada _x000a_notificado. "/>
    <s v="Ampliar y equipar la red de diagnóstico de tuberculosis, con acceso a cultivo,  microscopia y pruebas moleculares. "/>
    <s v="Todas las poblaciones"/>
    <s v="Compra de reactivos, consumibles para MGIT y realización del control de calidad a traves de paneles. (ANEXO 1)"/>
    <s v="Lic. Rene Guevara/ Yanira Melendez"/>
    <s v="FM-L2"/>
    <s v="FONDO MUNDIAL"/>
    <s v="C/U"/>
    <n v="1"/>
    <n v="24915.38"/>
    <n v="24915.38"/>
    <n v="1"/>
    <n v="24984.94"/>
    <n v="24984.94"/>
    <n v="1"/>
    <n v="26752.22"/>
    <n v="26752.22"/>
    <m/>
    <n v="0"/>
    <n v="0"/>
    <m/>
    <n v="0"/>
    <n v="0"/>
    <n v="76652.540000000008"/>
    <s v="OPS"/>
    <s v="Recomendaciones de comité de Luz Verde y Organizacion Mundial de la Salud es la utilización de medios liquidos y de la vigilancia de la TB DR de primera y segunda linea; lo que se realizara a travez del equipo MGIT en el Labotatorio Nacional de Salud Pública  con la compra de los insumos correspondientes, en las personas de sospecha drogoresistencia."/>
  </r>
  <r>
    <s v="Diagnóstico, tratamiento y atención de la TB"/>
    <s v="Diagnóstico de la TB-DR/pruebas de sensibilidad a los fármacos (PSF)"/>
    <n v="5"/>
    <s v="2. Diagnóstico y tratamiento de pacientes con tuberculosis sensible y tuberculosis drogorresistente "/>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2  Número de personas con TB-RR y/o TB-MDR confirmada _x000a_notificado. "/>
    <s v="Ampliar y equipar la red de diagnóstico de tuberculosis, con acceso a cultivo,  microscopia y pruebas moleculares. "/>
    <s v="Todas las poblaciones"/>
    <s v="Compra de reactivos, consumibles para MGIT y realización del control de calidad a traves de paneles. (ANEXO 1)"/>
    <s v="Lic. Rene Guevara/ Yanira Melendez"/>
    <s v="FM-L2"/>
    <s v="BRECHA FINANCIERA"/>
    <s v="C/U"/>
    <m/>
    <n v="0"/>
    <n v="0"/>
    <m/>
    <n v="0"/>
    <n v="0"/>
    <m/>
    <n v="0"/>
    <n v="0"/>
    <n v="1"/>
    <n v="25000"/>
    <n v="25000"/>
    <n v="1"/>
    <n v="25000"/>
    <n v="25000"/>
    <n v="50000"/>
    <s v="OPS"/>
    <s v="Recomendaciones de comité de Luz Verde y Organizacion Mundial de la Salud es la utilización de medios liquidos y de la vigilancia de la TB DR de primera y segunda linea; lo que se realizara a travez del equipo MGIT en el Labotatorio Nacional de Salud Pública  con la compra de los insumos correspondientes, en las personas de sospecha drogoresistencia."/>
  </r>
  <r>
    <s v="Poblaciones clave y vulnerables – TB/TB-DR"/>
    <s v="Poblaciones clave y vulnerables – Personas en prisiones, cárceles o centros de detención"/>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Población de riesgo Privados de Libertad. (PPL)"/>
    <s v="Compra de cartuchos para equipo Gene Xpert MTB/RIF ULTRA (Principalmente para poblaciones de más alto riesgo  privados de libertad.  "/>
    <s v="Lic. Rene Guevara"/>
    <s v="FM-L2"/>
    <s v="FONDO MUNDIAL"/>
    <s v="C/U"/>
    <n v="32000"/>
    <n v="8"/>
    <n v="256000"/>
    <n v="32000"/>
    <n v="8"/>
    <n v="256000"/>
    <n v="27000"/>
    <n v="8"/>
    <n v="216000"/>
    <m/>
    <n v="0"/>
    <n v="0"/>
    <m/>
    <n v="0"/>
    <n v="0"/>
    <n v="728000"/>
    <s v="OPS"/>
    <s v="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Población Privado de Libertad. "/>
  </r>
  <r>
    <s v="Poblaciones clave y vulnerables – TB/TB-DR"/>
    <s v="Poblaciones clave y vulnerables – Personas en prisiones, cárceles o centros de detención"/>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Población de riesgo Privados de Libertad. (PPL)"/>
    <s v="Compra de cartuchos para equipo Gene Xpert MTB/RIF ULTRA (Principalmente para poblaciones de más alto riesgo  privados de libertad.  "/>
    <s v="Lic. Rene Guevara"/>
    <s v="FM-L2"/>
    <s v="BRECHA FINANCIERA"/>
    <s v="C/U"/>
    <m/>
    <n v="0"/>
    <n v="0"/>
    <m/>
    <n v="0"/>
    <n v="0"/>
    <m/>
    <n v="0"/>
    <n v="0"/>
    <n v="27000"/>
    <n v="8"/>
    <n v="216000"/>
    <n v="27000"/>
    <n v="8"/>
    <n v="216000"/>
    <n v="432000"/>
    <s v="OPS"/>
    <s v="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como los PPL. "/>
  </r>
  <r>
    <s v="Diagnóstico, tratamiento y atención de la TB"/>
    <s v="Tamizaje y diagnóstico de la tuberculosis"/>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Población de riesgo Privados de Libertad. (PPL)"/>
    <s v="Compra de cartuchos para equipo Gene Xpert MTB/RIF ULTRA (Principalmente para poblaciones de más alto riesgo  privados de libertad.  "/>
    <s v="Lic. Rene Guevara"/>
    <m/>
    <s v="MINSAL"/>
    <s v="C/U"/>
    <n v="24000"/>
    <n v="8"/>
    <n v="192000"/>
    <n v="28000"/>
    <n v="8"/>
    <n v="224000"/>
    <n v="28000"/>
    <n v="8"/>
    <n v="224000"/>
    <n v="20000"/>
    <n v="8"/>
    <n v="160000"/>
    <n v="20000"/>
    <n v="8"/>
    <n v="160000"/>
    <n v="960000"/>
    <s v="OPS"/>
    <s v="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
  </r>
  <r>
    <s v="TB/VIH"/>
    <s v="TB/VIH - Tamizaje, realización de pruebas y diagnóstico"/>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Poblaciones de más alto riesgo persona con VIH"/>
    <s v="Compra de cartuchos para equipo Gene Xpert MTB/RIF ULTRA Principalmente para poblaciones de más alto riesgo persona con VIH "/>
    <s v="Lic. Rene Guevara"/>
    <m/>
    <s v="MINSAL"/>
    <s v="C/U"/>
    <n v="1200"/>
    <n v="8"/>
    <n v="9600"/>
    <n v="1200"/>
    <n v="8"/>
    <n v="9600"/>
    <n v="1200"/>
    <n v="8"/>
    <n v="9600"/>
    <n v="1200"/>
    <n v="8"/>
    <n v="9600"/>
    <n v="1200"/>
    <n v="8"/>
    <n v="9600"/>
    <n v="48000"/>
    <s v="OPS"/>
    <s v="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personas con VIH."/>
  </r>
  <r>
    <s v="Poblaciones clave y vulnerables  "/>
    <s v="Poblaciones clave y vulnerables - Otros"/>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Poblaciones general con alto riesgo, como inmuno deficientes, niños, Diabetes, contactos, personas con Enfermedad Renal; cancer; personal de salud, entre otros."/>
    <s v="Compra de cartuchos para equipo Gene Xpert MTB/RIF ULTRA Principalmente para Poblaciones general con alto riesgo, como inmuno deficientes, niños, Diabetes, contactos, personas con Enfermedad Renal; cancer; personal de salud, entre otros."/>
    <s v="Lic. Rene Guevara"/>
    <m/>
    <s v="MINSAL"/>
    <s v="C/U"/>
    <n v="36312"/>
    <n v="8"/>
    <n v="290496"/>
    <n v="36312"/>
    <n v="8"/>
    <n v="290496"/>
    <n v="36312"/>
    <n v="8"/>
    <n v="290496"/>
    <n v="36312"/>
    <n v="8"/>
    <n v="290496"/>
    <n v="36312"/>
    <n v="8"/>
    <n v="290496"/>
    <n v="1452480"/>
    <s v="OPS"/>
    <s v="La compra de cartucho permite cumplir normativa, recomendaciones internacionales como estrategia fin de la TB, permite identificacion temprana de casos y principalmente la vigilancia de la resistencia de la rifampicina.  Que seran utilizados en los hospitales de la RED del MINSAL. Como prioridad de metodo de dignostico a utilizar en todas las personas con TB presuntiva. Se utilizaran Prioritariamente para el tamizaje y descarte de TB en grupos de mayor riesgos y vulnerabilidad Otros"/>
  </r>
  <r>
    <s v="Diagnóstico, tratamiento y atención de la TB"/>
    <s v="Diagnóstico de la TB-DR/pruebas de sensibilidad a los fármacos (PSF)"/>
    <n v="3"/>
    <s v="2. Diagnóstico y tratamiento de pacientes con tuberculosis sensible y tuberculosis drogorresistente "/>
    <s v="2.2. Porcentaje de pacientes nuevos de TB que fueron diagnosticados a través de pruebas bacteriológicas 75%"/>
    <s v="2.8 Mejora de la calidad y enfoques de los programas y la prestación de servicios."/>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Ampliar y equipar la red de diagnóstico de tuberculosis, con acceso a cultivo,  microscopia y pruebas moleculares. "/>
    <s v="Todas las poblaciones"/>
    <s v=" Adquisicion de servicio de importacion de Kits (paneles de proefiencia) para evaluacion externa de calidad."/>
    <s v="Lic. Rene Guevara/ Yanira Melendez"/>
    <s v="FM-L2"/>
    <s v="FONDO MUNDIAL"/>
    <s v="C/U"/>
    <n v="1"/>
    <n v="4000"/>
    <n v="4000"/>
    <n v="1"/>
    <n v="4000"/>
    <n v="4000"/>
    <n v="1"/>
    <n v="4000"/>
    <n v="4000"/>
    <m/>
    <n v="0"/>
    <n v="0"/>
    <m/>
    <n v="0"/>
    <n v="0"/>
    <n v="12000"/>
    <s v="OPS"/>
    <s v="Dentro de la gestion de calidad la participacion de los Laboratorios Nacionales de Salud Publica, con los laboratorios supranacionales en el control de calidad a traves de paneles de proeficiencia permite tener respaldo tecnico administrativo para la realizacion de diferentes metodologias con resultados satisfactorios ante los Laboratorios Supranacionales."/>
  </r>
  <r>
    <s v="Diagnóstico, tratamiento y atención de la TB"/>
    <s v="Diagnóstico de la TB-DR/pruebas de sensibilidad a los fármacos (PSF)"/>
    <n v="3"/>
    <s v="2. Diagnóstico y tratamiento de pacientes con tuberculosis sensible y tuberculosis drogorresistente "/>
    <s v="2.2. Porcentaje de pacientes nuevos de TB que fueron diagnosticados a través de pruebas bacteriológicas 75%"/>
    <s v="2.8 Mejora de la calidad y enfoques de los programas y la prestación de servicios."/>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Ampliar y equipar la red de diagnóstico de tuberculosis, con acceso a cultivo,  microscopia y pruebas moleculares. "/>
    <s v="Todas las poblaciones"/>
    <s v=" Adquisicion de servicio de importacion de Kits (paneles de proefiencia) para evaluacion externa de calidad."/>
    <s v="Lic. Rene Guevara/ Yanira Melendez"/>
    <s v="FM-L2"/>
    <s v="BRECHA FINANCIERA"/>
    <s v="C/U"/>
    <m/>
    <n v="0"/>
    <n v="0"/>
    <m/>
    <n v="0"/>
    <n v="0"/>
    <m/>
    <n v="0"/>
    <n v="0"/>
    <n v="1"/>
    <n v="5000"/>
    <n v="5000"/>
    <n v="1"/>
    <n v="5000"/>
    <n v="5000"/>
    <n v="10000"/>
    <s v="OPS"/>
    <s v="Dentro de la gestion de calidad la participacion de los Laboratorios Nacionales de Salud Publica, con los laboratorios supranacionales en el control de calidad a traves de paneles de proeficiencia permite tener respaldo tecnico administrativo para la realizacion de diferentes metodologias con resultados satisfactorios ante los Laboratorios Supranacionales."/>
  </r>
  <r>
    <s v="Diagnóstico, tratamiento y atención de la TB"/>
    <s v="Tamizaje y diagnóstico de la tuberculosis"/>
    <n v="3"/>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 Diagnostico de la Tuberculosis resistente utilizando Gene Xpert en poblaciones de riesgo con sospecha de MDR-TB."/>
    <s v="Todas las poblaciones"/>
    <s v="Compra de Kit de Xpert Check para equipos de pruebas moleculares para el diagnostico de TB y vigilancia de la TB/DR"/>
    <s v="Lic. Rene Guevara"/>
    <s v="FM-L2"/>
    <s v="FONDO MUNDIAL"/>
    <s v="C/U"/>
    <n v="35"/>
    <n v="500"/>
    <n v="17500"/>
    <n v="34"/>
    <n v="500"/>
    <n v="17000"/>
    <n v="27"/>
    <n v="500"/>
    <n v="13500"/>
    <m/>
    <n v="0"/>
    <n v="0"/>
    <m/>
    <n v="0"/>
    <n v="0"/>
    <n v="48000"/>
    <s v="OPS"/>
    <s v="Los xpert Check , son para la calibracion de  los equipos de biologia molecular a nivel nacional, con lo que cumple la recomendación del fabircante y poder tener en funiconamiento cada modulo de los diferentes equipos."/>
  </r>
  <r>
    <s v="Diagnóstico, tratamiento y atención de la TB"/>
    <s v="Tamizaje y diagnóstico de la tuberculosis"/>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Ampliar y equipar la red de diagnóstico de tuberculosis, con acceso a cultivo,  microscopia y pruebas moleculares. "/>
    <s v="Todas las poblaciones"/>
    <s v="Compra de Kit de Xpert Check para equipos de pruebas moleculares para el diagnostico de TB y vigilancia de la TB/DR"/>
    <s v="Lic. Rene Guevara"/>
    <m/>
    <s v="MINSAL"/>
    <s v="C/U"/>
    <n v="45"/>
    <n v="500"/>
    <n v="22500"/>
    <n v="45"/>
    <n v="500"/>
    <n v="22500"/>
    <n v="45"/>
    <n v="500"/>
    <n v="22500"/>
    <n v="45"/>
    <n v="500"/>
    <n v="22500"/>
    <n v="45"/>
    <n v="500"/>
    <n v="22500"/>
    <n v="112500"/>
    <s v="OPS"/>
    <s v="Los xpert Check , son para la calibracion de  los equipos de biologia molecular a nivel nacional, con lo que cumple la recomendación del fabircante y poder tener en funiconamiento cada modulo de los diferentes equipos."/>
  </r>
  <r>
    <s v="Diagnóstico, tratamiento y atención de la TB"/>
    <s v="Tamizaje y diagnóstico de la tuberculosis"/>
    <n v="3"/>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 Diagnostico de la Tuberculosis resistente utilizando Gene Xpert en poblaciones de riesgo con sospecha de MDR-TB."/>
    <s v="Todas las poblaciones"/>
    <s v="Compra de Kit de Xpert Check para equipos de pruebas moleculares para el diagnostico de TB y vigilancia de la TB/DR"/>
    <s v="Lic. Rene Guevara"/>
    <s v="FM-L2"/>
    <s v="BRECHA FINANCIERA"/>
    <s v="C/U"/>
    <m/>
    <n v="0"/>
    <n v="0"/>
    <m/>
    <n v="0"/>
    <n v="0"/>
    <m/>
    <n v="0"/>
    <n v="0"/>
    <n v="25"/>
    <n v="500"/>
    <n v="12500"/>
    <n v="25"/>
    <n v="500"/>
    <n v="12500"/>
    <n v="25000"/>
    <s v="OPS"/>
    <s v="Los xpert Check , son para la calibracion de  los equipos de biologia molecular a nivel nacional, con lo que cumple la recomendación del fabircante y poder tener en funiconamiento cada modulo de los diferentes equipos."/>
  </r>
  <r>
    <s v="Diagnóstico, tratamiento y atención de la TB-DR"/>
    <s v="Diagnóstico de la TB-DR/pruebas de sensibilidad a los fármacos (PSF)"/>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Ampliar y equipar la red de diagnóstico de tuberculosis, con acceso a cultivo,  microscopia y pruebas moleculares. "/>
    <s v="Poblaciones de más alto riesgo Población privados de libertad, sospechosos de TB/MDR o TB/RR, personas con diabetes, entre otros"/>
    <s v="Compra de cartuchos para equipo Gene Xpert  XDR (Principalmente para poblaciones de más alto riesgo Población privados de libertad, sospechosos de TB/MDR o TB/RR, personas con diabetes, entre otros)."/>
    <s v="Lic. Rene Guevara"/>
    <s v="FM-L2"/>
    <s v="FONDO MUNDIAL"/>
    <s v="C/U"/>
    <n v="3500"/>
    <n v="14.9"/>
    <n v="52150"/>
    <n v="3500"/>
    <n v="14.9"/>
    <n v="52150"/>
    <n v="3500"/>
    <n v="14.9"/>
    <n v="52150"/>
    <m/>
    <n v="0"/>
    <n v="0"/>
    <m/>
    <n v="0"/>
    <n v="0"/>
    <n v="156450"/>
    <s v="OPS"/>
    <s v="Los cartucho xpert XDR permite realizar la vigilancia de la farmaco resistencia a medicamentos de primera y segunda line; asi cumplir la normativa, recomendaciones internacionales como estrategia fin de la TB, como una prioridad nacional para dar respuesta a indicadores contractuales.  Que seran utilizados en los hospitales de la RED a nivel Nacional. Se utilizaran en grupos de mayor riesgos PPL "/>
  </r>
  <r>
    <s v="Poblaciones clave y vulnerables – TB/TB-DR"/>
    <s v="Poblaciones clave y vulnerables – Personas en prisiones, cárceles o centros de detención"/>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Ampliar y equipar la red de diagnóstico de tuberculosis, con acceso a cultivo,  microscopia y pruebas moleculares. "/>
    <s v="Poblaciones de más alto riesgo Población privados de libertad, sospechosos de TB/MDR o TB/RR, personas con diabetes, entre otros"/>
    <s v="Compra de cartuchos para equipo Gene Xpert  XDR (Principalmente para poblaciones de más alto riesgo población privados de libertad, sospechosos de TB/MDR o TB/RR."/>
    <s v="Lic. Rene Guevara"/>
    <s v="FM-L2"/>
    <s v="BRECHA FINANCIERA"/>
    <s v="C/U"/>
    <m/>
    <n v="0"/>
    <n v="0"/>
    <m/>
    <n v="0"/>
    <n v="0"/>
    <m/>
    <n v="0"/>
    <n v="0"/>
    <n v="3500"/>
    <n v="14.9"/>
    <n v="52150"/>
    <n v="3500"/>
    <n v="14.9"/>
    <n v="52150"/>
    <n v="104300"/>
    <s v="OPS"/>
    <s v="Los cartucho xpert XDR permite realizar la vigilancia de la farmaco resistencia a medicamentos de primera y segunda line; asi cumplir la normativa, recomendaciones internacionales como estrategia fin de la TB, como una prioridad nacional para dar respuesta a indicadores contractuales.  Que seran utilizados en los hospitales de la RED a nivel Nacional. Se utilizaran en grupos de mayor riesgos PPL "/>
  </r>
  <r>
    <s v="Diagnóstico, tratamiento y atención de la TB-DR"/>
    <s v="Diagnóstico de la TB-DR/pruebas de sensibilidad a los fármacos (PSF)"/>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Ampliar y equipar la red de diagnóstico de tuberculosis, con acceso a cultivo,  microscopia y pruebas moleculares. "/>
    <s v="Principalmente para otras poblaciones de más alto riesgo y sospechosos de TB/MDR o TB/RR"/>
    <s v="Compra de cartuchos para equipo Gene Xpert  XDR (Principalmente para otras poblaciones de más alto riesgo y sospechosos de TB/MDR o TB/RR, como personas con diabetes, VIH, comorbilidades, niños, contactos, personal de salud, entre otros."/>
    <s v="Lic. Rene Guevara"/>
    <m/>
    <s v="MINSAL"/>
    <s v="C/U"/>
    <n v="1200"/>
    <n v="14.9"/>
    <n v="17880"/>
    <n v="1200"/>
    <n v="14.9"/>
    <n v="17880"/>
    <n v="1200"/>
    <n v="14.9"/>
    <n v="17880"/>
    <n v="1200"/>
    <n v="14.9"/>
    <n v="17880"/>
    <n v="1200"/>
    <n v="14.9"/>
    <n v="17880"/>
    <n v="89400"/>
    <s v="OPS"/>
    <s v="Los cartucho xpert XDR permite realizar la vigilancia de la farmaco resistencia a medicamentos de primera y segunda line; asi cumplir la normativa, recomendaciones internacionales como estrategia fin de la TB, como una prioridad nacional para dar respuesta a indicadores contractuales.  Que seran utilizados en los hospitales de la RED a nivel Nacional. Se utilizaran en grupos de mayor riesgos PPL "/>
  </r>
  <r>
    <s v="Diagnóstico, tratamiento y atención de la TB"/>
    <s v="Tamizaje y diagnóstico de la tuberculosis"/>
    <n v="6"/>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Diagnostico de la Tuberculosis resistente utilizando Gene Xper en poblaciones de riesgo con sospecha de MDR-TB."/>
    <s v="Todas las poblaciones"/>
    <s v="Adquisición de modulos de repuesto de  equipos Gene Xpert."/>
    <s v="Lic. Rene Guevara"/>
    <s v="FM-L2"/>
    <s v="FONDO MUNDIAL"/>
    <s v="C/U"/>
    <n v="28"/>
    <n v="3860"/>
    <n v="108080"/>
    <n v="10"/>
    <n v="3860"/>
    <n v="38600"/>
    <n v="8"/>
    <n v="3860"/>
    <n v="30880"/>
    <m/>
    <n v="0"/>
    <n v="0"/>
    <m/>
    <n v="0"/>
    <n v="0"/>
    <n v="177560"/>
    <s v="OPS"/>
    <s v="Los Modulos de los Equipos se dañan con el Tiempo de uso y es su necesario el cambio de ellos, para poder mantener una capacidad de respuesta ante la demanda de pruebas y lograr una productividad adecuada. Esto es a  nivel naciional . LOS PRIMEROS TRES AÑOS FONDO MUNDIAL, LOS ULTIMOS DOS AÑOS SE GESTIONARA CON MINSAL"/>
  </r>
  <r>
    <s v="Diagnóstico, tratamiento y atención de la TB"/>
    <s v="Tamizaje y diagnóstico de la tuberculosis"/>
    <n v="6"/>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Diagnostico de la Tuberculosis resistente utilizando Gene Xper en poblaciones de riesgo con sospecha de MDR-TB."/>
    <s v="Todas las poblaciones"/>
    <s v="Adquisición de modulos de repuesto de  equipos Gene Xpert."/>
    <s v="Lic. Rene Guevara"/>
    <s v="FM-L2"/>
    <s v="BRECHA FINANCIERA"/>
    <s v="C/U"/>
    <n v="0"/>
    <n v="0"/>
    <n v="0"/>
    <n v="0"/>
    <n v="0"/>
    <n v="0"/>
    <m/>
    <n v="0"/>
    <n v="0"/>
    <n v="5"/>
    <n v="3860"/>
    <n v="19300"/>
    <n v="5"/>
    <n v="3860"/>
    <n v="19300"/>
    <n v="38600"/>
    <s v="OPS"/>
    <s v="Los Modulos de los Equipos se dañan con el Tiempo de uso y es su necesario el cambio de ellos, para poder mantener una capacidad de respuesta ante la demanda de pruebas y lograr una productividad adecuada. Esto es a  nivel naciional . LOS PRIMEROS TRES AÑOS FONDO MUNDIAL, LOS ULTIMOS DOS AÑOS SE GESTIONARA CON MINSAL"/>
  </r>
  <r>
    <s v="Diagnóstico, tratamiento y atención de la TB"/>
    <s v="Tamizaje y diagnóstico de la tuberculosis"/>
    <n v="6"/>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Diagnostico de la Tuberculosis resistente utilizando Gene Xper en poblaciones de riesgo con sospecha de MDR-TB."/>
    <s v="Todas las poblaciones"/>
    <s v="Adquisición de modulos de repuesto de  equipos Gene Xpert."/>
    <s v="Lic. Rene Guevara"/>
    <m/>
    <s v="MINSAL"/>
    <s v="C/U"/>
    <n v="45"/>
    <n v="3860"/>
    <n v="173700"/>
    <n v="45"/>
    <n v="3860"/>
    <n v="173700"/>
    <n v="45"/>
    <n v="3860"/>
    <n v="173700"/>
    <n v="45"/>
    <n v="3860"/>
    <n v="173700"/>
    <n v="45"/>
    <n v="3860"/>
    <n v="173700"/>
    <n v="868500"/>
    <m/>
    <s v="Los cartucho xpert XDR permite realizar la vigilancia de la farmaco resistencia a medicamentos de primera y segunda line; asi cumplir la normativa, recomendaciones internacionales como estrategia fin de la TB, como una prioridad nacional para dar respuesta a indicadores contractuales.  Que seran utilizados en los hospitales de la RED a nivel Nacional. Se utilizaran en grupos de mayor riesgos PPL "/>
  </r>
  <r>
    <s v="Diagnóstico, tratamiento y atención de la TB"/>
    <s v="Tamizaje y diagnóstico de la tuberculosis"/>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TB I-2 Tasa de incidencia de la tuberculosis por 100.000 habitantes.  "/>
    <s v="Diagnostico de la Tuberculosis resistente utilizando Gene Xpert en poblaciones de riesgo con sospecha de MDR-TB."/>
    <s v="Todas las poblaciones"/>
    <s v="Compra de Tubo cónico  polietileno pollipropileno, graduado, capacidad 50 mililitros, con tapon de rosca, Esteril, Empaque Individual"/>
    <s v="Lic. Rene Guevara"/>
    <s v="FM-L2"/>
    <s v="FONDO MUNDIAL"/>
    <s v="C/U"/>
    <n v="20000"/>
    <n v="0.4"/>
    <n v="8000"/>
    <n v="20000"/>
    <n v="0.4"/>
    <n v="8000"/>
    <n v="20000"/>
    <n v="0.4"/>
    <n v="8000"/>
    <m/>
    <n v="0"/>
    <n v="0"/>
    <m/>
    <n v="0"/>
    <n v="0"/>
    <n v="24000"/>
    <s v="MINSAL"/>
    <s v="Los tubos son utilizados en la realizacion de cultivo BAAR y purebas moleculares en la red de laboratotorios clinicos, incluyendo el LNSP. En estos se realizan dilusiones, concentracion, descontaminaciones de las muestras de las personas con TB presuntiva para el seguimiento de tratamiento y seguimiento de la vigilancia de la drogoresistencia."/>
  </r>
  <r>
    <s v="Diagnóstico, tratamiento y atención de la TB"/>
    <s v="Tamizaje y diagnóstico de la tuberculosis"/>
    <n v="5"/>
    <s v="2. Diagnóstico y tratamiento de pacientes con tuberculosis sensible y tuberculosis drogorresistente "/>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TB I-2 Tasa de incidencia de la tuberculosis por 100.000 habitantes.  "/>
    <s v="Diagnostico de la Tuberculosis resistente utilizando Gene Xpert en poblaciones de riesgo con sospecha de MDR-TB."/>
    <s v="Todas las poblaciones"/>
    <s v="Compra de Tubo cónico  polietileno pollipropileno, graduado, capacidad 50 mililitros, con tapon de rosca, Esteril, Empaque Individual"/>
    <s v="Lic. Rene Guevara"/>
    <s v="FM-L2"/>
    <s v="BRECHA FINANCIERA"/>
    <s v="C/U"/>
    <m/>
    <n v="0"/>
    <n v="0"/>
    <m/>
    <n v="0"/>
    <n v="0"/>
    <m/>
    <n v="0"/>
    <n v="0"/>
    <n v="25000"/>
    <n v="0.4"/>
    <n v="10000"/>
    <n v="25000"/>
    <n v="0.4"/>
    <n v="10000"/>
    <n v="20000"/>
    <s v="MINSAL"/>
    <s v="Los tubos son utilizados en la realizacion de cultivo BAAR y purebas moleculares en la red de laboratotorios clinicos, incluyendo el LNSP. En estos se realizan dilusiones, concentracion, descontaminaciones de las muestras de las personas con TB presuntiva para el seguimiento de tratamiento y seguimiento de la vigilancia de la drogoresistencia."/>
  </r>
  <r>
    <s v="Diagnóstico, tratamiento y atención de la TB"/>
    <s v="Tamizaje y diagnóstico de la tuberculosis"/>
    <n v="0"/>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Monitorear y Evaluar el cumplimento del plan anual operativo del MINSAL en coordinacion con otros proveedores de servicios de salud y organizaciones de la  sociedad civil (OSC).  1 evaluacion por region cada semestre."/>
    <s v="Todas las poblaciones"/>
    <s v="Reuniones de monitoreo y evaluación de para analisis de información epidemiologica y programatica a nivel nacional con regiones de salud, e instituciones de SNIS."/>
    <s v="Dr. Mario Soto"/>
    <s v="FM-L3"/>
    <s v="FONDO MUNDIAL"/>
    <s v="cada una"/>
    <n v="640"/>
    <n v="25"/>
    <n v="16000"/>
    <n v="640"/>
    <n v="25"/>
    <n v="16000"/>
    <n v="640"/>
    <n v="25"/>
    <n v="16000"/>
    <m/>
    <n v="0"/>
    <n v="0"/>
    <m/>
    <n v="0"/>
    <n v="0"/>
    <n v="48000"/>
    <s v="PNUD"/>
    <s v="Evaluación semestral y anual del cumplimiento de indicadores epidemiologicos y contractuales a nivel de Regiones de Salud, SIBASIS, incluyendo otros proveedores de salud. Estas actividades  son una herramientoa indispensable para evaluar el cumplimiento de  los indicadores programaticos y financieros; de igual forma se hará de forma centralizada a nivel nacional, ya que en las evaluciones participan todo el equipo multidisciplinaria, sirve para asesoria tecnica, coordinaciones y toma de decisiones con los diferentes actores del Sistema Nacional Integrado de Salud."/>
  </r>
  <r>
    <s v="Diagnóstico, tratamiento y atención de la TB"/>
    <s v="Tamizaje y diagnóstico de la tuberculosis"/>
    <n v="2"/>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Monitorear y Evaluar el cumplimento del plan anual operativo del MINSAL en coordinacion con otros proveedores de servicios de salud y organizaciones de la  sociedad civil (OSC).  1 evaluacion por region cada semestre."/>
    <s v="Monitoreo y evaluación"/>
    <s v="Reuniones de monitoreo y evaluación de para analisis de información epidemiologica y programatica a nivel nacional con regiones de salud, e instituciones de SNIS."/>
    <s v="Dr. Mario Soto"/>
    <s v="FM-L3"/>
    <s v="BRECHA FINANCIERA"/>
    <s v="cada una"/>
    <m/>
    <n v="0"/>
    <n v="0"/>
    <m/>
    <n v="0"/>
    <n v="0"/>
    <m/>
    <n v="0"/>
    <n v="0"/>
    <n v="640"/>
    <n v="25"/>
    <n v="16000"/>
    <n v="640"/>
    <n v="25"/>
    <n v="16000"/>
    <n v="32000"/>
    <s v="PNUD"/>
    <s v="Evaluación semestral y anual del cumplimiento de indicadores epidemiologicos y contractuales a nivel de Regiones de Salud, SIBASIS, incluyendo otros proveedores de salud. Estas actividades  son una herramientoa indispensable para evaluar el cumplimiento de  los indicadores programaticos y financieros; de igual forma se hará de forma centralizada a nivel nacional, ya que en las evaluciones participan todo el equipo multidisciplinaria, sirve para asesoria tecnica, coordinaciones y toma de decisiones con los diferentes actores del Sistema Nacional Integrado de Salud."/>
  </r>
  <r>
    <s v="Diagnóstico, tratamiento y atención de la TB"/>
    <s v="Tamizaje y diagnóstico de la tuberculosis"/>
    <n v="2"/>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 Tasa de incidencia de TB por 100 000 habitantes."/>
    <s v="Monitorear y Evaluar el cumplimento del plan anual operativo del MINSAL en coordinacion con otros proveedores de servicios de salud y organizaciones de la  sociedad civil (OSC).  1 evaluacion por region cada semestre."/>
    <s v="Monitoreo y evaluación"/>
    <s v="Servicios de alojamiento para el monitoreo de indicadores en los establecimeintos de salud de  las Regiones de Salud Oriental y Occidental"/>
    <s v="Dr. Mario Soto"/>
    <s v="FM-L3"/>
    <s v="FONDO MUNDIAL"/>
    <s v="cada una"/>
    <n v="100"/>
    <n v="60"/>
    <n v="6000"/>
    <n v="100"/>
    <n v="60"/>
    <n v="6000"/>
    <n v="100"/>
    <n v="60"/>
    <n v="6000"/>
    <m/>
    <n v="0"/>
    <n v="0"/>
    <m/>
    <n v="0"/>
    <n v="0"/>
    <n v="18000"/>
    <s v="PNUD"/>
    <s v="Se contrataran servicios de alojamiento para personal técnico y motorista; con el objetivo de realizar jornadas de monitoreo y evaluación de actividades programáticas y Evaluaciones Nacionales,  que realicen en la zona Oriental y Occidental del país; en las cuales por motivo de distancia y tráfico a la salida y entrada a la capital; se vuelve necesario pernoctar en la zona de trabajo, para iniciar de forma temprana las actividades. Se plantean 125 servicios por año, con un monto de $60.00 por persona por noche."/>
  </r>
  <r>
    <s v="Diagnóstico, tratamiento y atención de la TB"/>
    <s v="Tamizaje y diagnóstico de la tuberculosis"/>
    <n v="2"/>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 Tasa de incidencia de TB por 100 000 habitantes."/>
    <s v="Monitorear y Evaluar el cumplimento del plan anual operativo del MINSAL en coordinacion con otros proveedores de servicios de salud y organizaciones de la  sociedad civil (OSC).  1 evaluacion por region cada semestre."/>
    <s v="Monitoreo y evaluación"/>
    <s v="Servicios de alojamiento para el monitoreo de indicadores en los establecimeintos de salud de  las Regiones de Salud Oriental y Occidental"/>
    <s v="Dr. Mario Soto"/>
    <s v="FM-L3"/>
    <s v="BRECHA FINANCIERA"/>
    <s v="cada una"/>
    <m/>
    <n v="0"/>
    <n v="0"/>
    <m/>
    <n v="0"/>
    <n v="0"/>
    <m/>
    <n v="0"/>
    <n v="0"/>
    <n v="100"/>
    <n v="60"/>
    <n v="6000"/>
    <n v="100"/>
    <n v="60"/>
    <n v="6000"/>
    <n v="12000"/>
    <s v="PNUD"/>
    <s v="Se contrataran servicios de alojamiento para personal técnico y motorista; con el objetivo de realizar jornadas de monitoreo y evaluación de actividades programáticas y Evaluaciones Nacionales,  que realicen en la zona Oriental y Occidental del país; en las cuales por motivo de distancia y tráfico a la salida y entrada a la capital; se vuelve necesario pernoctar en la zona de trabajo, para iniciar de forma temprana las actividades. Se plantean 125 servicios por año, con un monto de $60.00 por persona por noche."/>
  </r>
  <r>
    <s v="Gestión de programas"/>
    <s v="Gestión de subvenciones"/>
    <n v="11"/>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servicios del Sistema Nacional Integrado de Salud, centros penales y organizaciones de la sociedad civil operativizando la Estrategia Fin de la TB"/>
    <s v="TBDT-3b  Porcentaje de pacientes notificados con todas las formas de _x000a_tuberculosis (esto es, confirmada bacteriológicamente + _x000a_diagnosticada clínicamente) aportados por proveedores ajenos al _x000a_programa nacional de tuberculosis – sector público; *incluye _x000a_únicamente pacientes nuevos y recaídas."/>
    <s v=" Gastos de administración del RP para apoyo a las diferentes unidades de gestión y ejecución. (UPTYER Y UNIDADES DE APOYO (UCP/UFE)"/>
    <s v="Todas las poblaciones"/>
    <s v="Compra de servicio de telefonia movil"/>
    <s v="Lic. Karla Sánchez"/>
    <s v="FM-L3"/>
    <s v="FONDO MUNDIAL"/>
    <s v="C/U"/>
    <n v="1"/>
    <n v="15700"/>
    <n v="15700"/>
    <n v="1"/>
    <n v="16171"/>
    <n v="16171"/>
    <n v="1"/>
    <n v="16656.13"/>
    <n v="16656.13"/>
    <m/>
    <m/>
    <n v="0"/>
    <m/>
    <m/>
    <n v="0"/>
    <n v="48527.130000000005"/>
    <s v="MINSAL"/>
    <s v="El servicio de telefonía movil es de suma importancia para la Unidad de Prevención y Control de la Tuberculosis y Enfermedades Respiratorias (UPCTYER), ya que es gracias a este servicio que se da respuesta tanto técnica como a los pacientes que padecen de esta enfermedad. Con una comunicación constante y accesible, los técnicos de esta unidad pueden brindar respuesta desde cualquier punto del país, les da acceso tanto a llamadas como a aplicaciones de correo electrónico y videoconferencias, lo cual facilita el trabajo arduo que se realiza a diario para ejecutar las actividades y estrategias de este componente."/>
  </r>
  <r>
    <s v="Diagnóstico, tratamiento y atención de la TB"/>
    <s v="Tamizaje y diagnóstico de la tuberculosis"/>
    <n v="10"/>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Actualización e impresión de libros de registro de TB y de actividades colaborativas TB/VIH, incluye material educativo y audiovision para el control de la tuberculosis con enfoque intercultural."/>
    <s v="Todas las poblaciones"/>
    <s v="Impresión de libros y formularios para el registro de la informacion primaria en los establecimientos del SNIS. Compra de insumos para área de imprenta incluye material educativo y audiovision para el control de la tuberculosis con enfoque intercultural"/>
    <s v="Lic Bessy Velis / Lic. Yanira Chita"/>
    <s v="FM-L3"/>
    <s v="FONDO MUNDIAL"/>
    <m/>
    <n v="1"/>
    <n v="15998.6"/>
    <n v="15998.6"/>
    <n v="1"/>
    <n v="15998.6"/>
    <n v="15998.6"/>
    <n v="1"/>
    <n v="16000"/>
    <n v="16000"/>
    <m/>
    <n v="0"/>
    <n v="0"/>
    <m/>
    <n v="0"/>
    <n v="0"/>
    <n v="47997.2"/>
    <s v="PNUD"/>
    <s v="En el caso de la UPCTYER, con este servicio se da respuesta a todos los indicadores del Plan Estratégico Nacional Multisectorial de la TB, ya que sirve como una herramienta para coordinar actividades, dar respuestas a casos de TB, supervisiones y monitoreos en las regiones de salud y hospitales, seguimiento a la ejecución de actividades, coordinación con otras áreas del ministerio, coordinar y brindar respuesta a otras entidades del Sistema Nacional Integrado de Salud (FOSALUD, ISSS, COSAM, ISBM, ISRI, DNM). Así también, comunicación constante con la Dirección General de Centros Penales, con quien se coordinan actividades, casos de TB, medicamento y otras actividades más. Incluyendo comunicación con entidades externas como la Organización Panamericana de la Salud (OPS), CICR y otras que se encuentran involucradas en las actividades que se realizan en la lucha contra la Tuberculosis."/>
  </r>
  <r>
    <s v="Diagnóstico, tratamiento y atención de la TB"/>
    <s v="Tamizaje y diagnóstico de la tuberculosis"/>
    <n v="10"/>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Actualización e impresión de libros de registro de TB y de actividades colaborativas TB/VIH, incluye material educativo y audiovision para el control de la tuberculosis con enfoque intercultural."/>
    <s v="Todas las poblaciones"/>
    <s v="Impresión de libros y formularios para el registro de la informacion primaria en los establecimientos del SNIS. Compra de insumos para área de imprenta incluye material educativo y audiovision para el control de la tuberculosis con enfoque intercultural"/>
    <s v="Lic Bessy Velis / Lic. Yanira Chita"/>
    <s v="FM-L3"/>
    <s v="BRECHA FINANCIERA"/>
    <m/>
    <m/>
    <n v="0"/>
    <n v="0"/>
    <m/>
    <n v="0"/>
    <n v="0"/>
    <m/>
    <n v="0"/>
    <n v="0"/>
    <n v="1"/>
    <n v="16000"/>
    <n v="16000"/>
    <n v="1"/>
    <n v="16000"/>
    <n v="16000"/>
    <n v="32000"/>
    <s v="PNUD"/>
    <s v="En el caso de la UPCTYER, con este servicio se da respuesta a todos los indicadores del Plan Estratégico Nacional Multisectorial de la TB, ya que sirve como una herramienta para coordinar actividades, dar respuestas a casos de TB, supervisiones y monitoreos en las regiones de salud y hospitales, seguimiento a la ejecución de actividades, coordinación con otras áreas del ministerio, coordinar y brindar respuesta a otras entidades del Sistema Nacional Integrado de Salud (FOSALUD, ISSS, COSAM, ISBM, ISRI, DNM). Así también, comunicación constante con la Dirección General de Centros Penales, con quien se coordinan actividades, casos de TB, medicamento y otras actividades más. Incluyendo comunicación con entidades externas como la Organización Panamericana de la Salud (OPS), CICR y otras que se encuentran involucradas en las actividades que se realizan en la lucha contra la Tuberculosis."/>
  </r>
  <r>
    <s v="Diagnóstico, tratamiento y atención de la TB"/>
    <s v="Tamizaje y diagnóstico de la tuberculosis"/>
    <n v="2"/>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Conmemoración del día mundial de lucha contra la tuberculosis, con la participación de personal del SNIS, ONG, organizaciones de la sociedad cívil, entre otros; para presentar avances en el control de la TB, resultados de estudios, intervenciones y estrategias realizadas a nivel local; asi como logros epidemiologicos y operativos"/>
    <s v="Todas las poblaciones"/>
    <s v=" Congreso Nacional de tuberculosis."/>
    <s v="Dr. Mario Soto/Lic. Bessy Velis"/>
    <s v="FM-L3"/>
    <s v="FONDO MUNDIAL"/>
    <s v="cada una"/>
    <n v="250"/>
    <n v="30"/>
    <n v="7500"/>
    <n v="250"/>
    <n v="30"/>
    <n v="7500"/>
    <n v="250"/>
    <n v="30"/>
    <n v="7500"/>
    <m/>
    <n v="0"/>
    <n v="0"/>
    <m/>
    <n v="0"/>
    <n v="0"/>
    <n v="22500"/>
    <s v="PNUD"/>
    <s v="Se desarrollará un congreso nacional de TB, durante los años 2 y 3, en el cual participará personal operativo del SNIS, ONG y otros proveedores de salud públicos y privados (250 personas a un costo de $30.00 por persona como gasto de alimentación). El propósito es actualizar al personal operativo en la temática de la TB, dar a conocer resultados de estudios realizados, promover la implementacion de nuevas estrategias y experiencias exitosas a nivel operativo, entre otros. Ver anexo plan de compras. "/>
  </r>
  <r>
    <s v="Diagnóstico, tratamiento y atención de la TB"/>
    <s v="Tamizaje y diagnóstico de la tuberculosis"/>
    <n v="2"/>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Conmemoración del día mundial de lucha contra la tuberculosis, con la participación de personal del SNIS, ONG, organizaciones de la sociedad cívil, entre otros; para presentar avances en el control de la TB, resultados de estudios, intervenciones y estrategias realizadas a nivel local; asi como logros epidemiologicos y operativos"/>
    <s v="Todas las poblaciones"/>
    <s v=" Congreso Nacional de tuberculosis."/>
    <s v="Dr. Mario Soto/Lic. Bessy Velis"/>
    <s v="FM-L3"/>
    <s v="BRECHA FINANCIERA"/>
    <s v="cada una"/>
    <m/>
    <n v="0"/>
    <n v="0"/>
    <m/>
    <n v="0"/>
    <n v="0"/>
    <m/>
    <n v="0"/>
    <n v="0"/>
    <n v="250"/>
    <n v="30"/>
    <n v="7500"/>
    <n v="250"/>
    <n v="30"/>
    <n v="7500"/>
    <n v="15000"/>
    <s v="PNUD"/>
    <s v="Se desarrollará un congreso nacional de TB, durante los años 2 y 3, en el cual participará personal operativo del SNIS, ONG y otros proveedores de salud públicos y privados (200 personas a un costo de $28.00 por persona como gasto de alimentación). El propósito es actualizar al personal operativo en la temática de la TB, dar a conocer resultados de estudios realizados, promover la implementacion de nuevas estrategias y experiencias exitosas a nivel operativo, entre otros. Ver anexo plan de compras. Activida que servira para socializar logros,resultados y cumplimiento tecnico juridio.Los años 4 y 5 quedan como brecha financiera. "/>
  </r>
  <r>
    <s v="Diagnóstico, tratamiento y atención de la TB"/>
    <s v="Tamizaje y diagnóstico de la tuberculosis"/>
    <n v="10"/>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Conmemoración del día mundial de lucha contra la tuberculosis, con la participación de personal del SNIS, ONG, organizaciones de la sociedad cívil, entre otros; para presentar avances en el control de la TB, resultados de estudios, intervenciones y estrategias realizadas a nivel local; asi como logros epidemiologicos y operativos"/>
    <s v="Todas las poblaciones"/>
    <s v="Compra de materiales para proporcionar a los participantes del congreso (maletines, memorias USB, bolígrafos)."/>
    <s v="Lic Bessy Velis"/>
    <s v="FM-L3"/>
    <s v="FONDO MUNDIAL"/>
    <s v="cada una"/>
    <n v="250"/>
    <n v="19.2"/>
    <n v="4800"/>
    <n v="250"/>
    <n v="19.2"/>
    <n v="4800"/>
    <n v="250"/>
    <n v="19.2"/>
    <n v="4800"/>
    <n v="0"/>
    <n v="0"/>
    <n v="0"/>
    <m/>
    <n v="0"/>
    <n v="0"/>
    <n v="14400"/>
    <s v="PNUD"/>
    <s v="Se proporcionará a los participantes del congreso nacional de TB, (personal salud,operativo del SNIS, ONG´s y otros proveedores de salud públicos y privados) de insumos y materiales, entre ellos: Maletines, boligrafos y Memorias via puerto USB. _x000a_"/>
  </r>
  <r>
    <s v="Diagnóstico, tratamiento y atención de la TB"/>
    <s v="Tamizaje y diagnóstico de la tuberculosis"/>
    <n v="10"/>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Conmemoración del día mundial de lucha contra la tuberculosis, con la participación de personal del SNIS, ONG, organizaciones de la sociedad cívil, entre otros; para presentar avances en el control de la TB, resultados de estudios, intervenciones y estrategias realizadas a nivel local; asi como logros epidemiologicos y operativos"/>
    <s v="Todas las poblaciones"/>
    <s v="Compra de materiales para proporcionar a los participantes del congreso (maletines, memorias USB, bolígrafos)."/>
    <s v="Lic Bessy Velis"/>
    <s v="FM-L3"/>
    <s v="BRECHA FINANCIERA"/>
    <m/>
    <n v="0"/>
    <n v="0"/>
    <n v="0"/>
    <m/>
    <n v="0"/>
    <n v="0"/>
    <m/>
    <n v="0"/>
    <n v="0"/>
    <n v="350"/>
    <n v="20.57"/>
    <n v="7199.5"/>
    <n v="350"/>
    <n v="20.57"/>
    <n v="7199.5"/>
    <n v="14399"/>
    <s v="PNUD"/>
    <s v="Se proporcionará a los participantes del congreso nacional de TB, (personal operativo del SNIS, ONG´s y otros proveedores de salud públicos y privados) de diferentes materiales, entre ellos:_x000a_maletines= $5,250.00, _x000a_memorias USB = $1,750.00 _x000a_bolígrafos = $199.50 _x000a_Ver anexo plan de compras"/>
  </r>
  <r>
    <s v="Colaboración con otros proveedores y sectores"/>
    <s v="Colaboración con otros programas o sectores"/>
    <n v="10"/>
    <s v="3.Políticas de salud, intersectorialidad, multisectorialidad, estrategia de participación comunitaria e interculturalidad. "/>
    <s v="Meta 3.2: Expandir a otros municipios más la iniciativa de TB en Grandes Ciudades. "/>
    <s v="3.3- 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
    <s v="Número de municipios donde se está implementando la iniciativa de grandes ciudades"/>
    <s v="TB I-2 : Tasa de incidencia de TB por 100 000 habitantes."/>
    <s v="3.3.5 Conmemoracion del día Mundial de la TB y movilización social con las Municipalidades, participación en jornadas de salud en personas en situación de calle, dormitorios públicos, comedores públicos, mercados entre otros."/>
    <s v="Todas las poblaciones"/>
    <s v="Compra de promocionales e insumos para realizar movilizacion social en el Día Mundial de TB con las municipalidades que participan en la Iniciativa de TB en Grandes Ciudades._x000a_"/>
    <s v="Lic. Bessy Velis/Dr. Gilberto Ayala"/>
    <s v="FM-L3"/>
    <s v="BRECHA FINANCIERA"/>
    <s v="C/U"/>
    <n v="1"/>
    <n v="9995"/>
    <n v="9995"/>
    <n v="1"/>
    <n v="9995"/>
    <n v="9995"/>
    <n v="1"/>
    <n v="9995"/>
    <n v="9995"/>
    <n v="1"/>
    <n v="9995"/>
    <n v="9995"/>
    <n v="1"/>
    <n v="9995"/>
    <n v="9995"/>
    <n v="49975"/>
    <s v="PNUD"/>
    <s v=" Elaborar material educativo y promocionales para el desarrollo de actividades educativas dentro del marco de trabajo de la iniciativa TB en grandes Ciudades. Con el objetivo de  concientizar a cada comité municipal y sus comunidades para realizar el diagnóstico temprano y oportuno de la Tuberculosis y otras comorbilidades.  Incluye engaje TB, TB en pueblos indigenas y actividades con sociedad civil."/>
  </r>
  <r>
    <s v="Prevención de la TB/TB-DR"/>
    <s v="Prevención y control de infecciones"/>
    <n v="5"/>
    <s v="4.Fortalecimiento de sistema de salud, sistema de información, vigilancia e investigación, innovación tecnológica"/>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4.1.1 Ejecución de medidas de bioseguridad en la red de laboratorios clínicos que hacen diagnóstico de tuberculosis."/>
    <s v="Trabajadores de salud"/>
    <s v="Compra de Gabachas de tela para profesionales de laboratorio que realizan  baciloscopia."/>
    <s v="Lic. Rene Guevara"/>
    <s v="FM-L4"/>
    <s v="FONDO MUNDIAL-UQD"/>
    <s v="C/U"/>
    <n v="900"/>
    <n v="17.75"/>
    <n v="15975"/>
    <n v="900"/>
    <n v="17.75"/>
    <n v="15975"/>
    <n v="900"/>
    <n v="17.75"/>
    <n v="15975"/>
    <n v="0"/>
    <n v="0"/>
    <n v="0"/>
    <n v="0"/>
    <n v="0"/>
    <n v="0"/>
    <n v="47925"/>
    <s v="PNUD"/>
    <s v="La bioseguridad es parte fundamental del control de infecciones principalmente en areas de riesgo biologico principalmente en los laboratorios clinicos. Por normativa se recomienda el uso de gabachas a todo profesional del Laboratorio de Salud Publica."/>
  </r>
  <r>
    <s v="Prevención de la TB/TB-DR"/>
    <s v="Prevención y control de infecciones"/>
    <n v="5"/>
    <s v="4.Fortalecimiento de sistema de salud, sistema de información, vigilancia e investigación, innovación tecnológica"/>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4.1.1 Ejecución de medidas de bioseguridad en la red de laboratorios clínicos que hacen diagnóstico de tuberculosis."/>
    <s v="Trabajadores de salud"/>
    <s v="Compra de Gabachas de tela para profesionales de laboratorio que realizan  baciloscopia."/>
    <s v="Lic. Rene Guevara"/>
    <s v="FM-L4"/>
    <s v="BRECHA FINANCIERA"/>
    <s v="C/U"/>
    <n v="0"/>
    <n v="0"/>
    <n v="0"/>
    <n v="0"/>
    <n v="0"/>
    <n v="0"/>
    <n v="0"/>
    <n v="0"/>
    <n v="0"/>
    <n v="900"/>
    <n v="17.75"/>
    <n v="15975"/>
    <n v="900"/>
    <n v="17.75"/>
    <n v="15975"/>
    <n v="31950"/>
    <s v="PNUD"/>
    <s v="La bioseguridad es parte fundamental del control de infecciones principalmente en areas de riesgo biologico principalmente en los laboratorios clinicos. Por normativa se recomienda el uso de gabachas a todo profesional del Laboratorio de Salud Publica."/>
  </r>
  <r>
    <s v="Prevención de la TB/TB-DR"/>
    <s v="Prevención y control de infecciones"/>
    <n v="5"/>
    <s v="4.Fortalecimiento de sistema de salud, sistema de información, vigilancia e investigación, innovación tecnológica"/>
    <s v="Meta 4.1: Aumentar al menos en un 5% anual los establecimientos de salud aplicando medidas de control de infecciones en TB. "/>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Ampliar y equipar la red de diagnóstico de tuberculosis, con acceso a cultivo,  microscopia y pruebas moleculares. "/>
    <s v="Trabajadores de salud"/>
    <s v="Compra de Respirador  de filtrado con certificado NIOSH N95 o superior, con dos sujetadores elasticos , adaptación hermetica facial sin valvula"/>
    <s v="Lic. Rene Guevara"/>
    <s v="FM-L4"/>
    <s v="FONDO MUNDIAL"/>
    <s v="C/U"/>
    <n v="20000"/>
    <n v="0.4"/>
    <n v="8000"/>
    <n v="20000"/>
    <n v="0.4"/>
    <n v="8000"/>
    <n v="20000"/>
    <n v="0.4"/>
    <n v="8000"/>
    <m/>
    <n v="0"/>
    <n v="0"/>
    <m/>
    <n v="0"/>
    <n v="0"/>
    <n v="24000"/>
    <s v="MINSAL"/>
    <s v="se compraran respiradores para personal de la red de laboratorios de los diferentes niveles de atencion, como parte de control de  infeecciones y fortalecimiento en las medidas de bioseguridad, el uso del respeirador es recomendamendado para proteccion de los profesionales en el momento que realizan las tecnicas en las cuales siempre hay formaciones de aerosoles, que son las particulas infecciosas que son detenidas por las barreras de filtracion que traen los respiradores."/>
  </r>
  <r>
    <s v="Prevención de la TB/TB-DR"/>
    <s v="Prevención y control de infecciones"/>
    <n v="5"/>
    <s v="4.Fortalecimiento de sistema de salud, sistema de información, vigilancia e investigación, innovación tecnológica"/>
    <s v="Meta 4.1: Aumentar al menos en un 5% anual los establecimientos de salud aplicando medidas de control de infecciones en TB. "/>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Ampliar y equipar la red de diagnóstico de tuberculosis, con acceso a cultivo,  microscopia y pruebas moleculares. "/>
    <s v="Trabajadores de salud"/>
    <s v="Compra de Respirador  de filtrado con certificado NIOSH N95 o superior, con dos sujetadores elasticos , adaptación hermetica facial sin valvula"/>
    <s v="Lic. Rene Guevara"/>
    <s v="FM-L4"/>
    <s v="BRECHA FINANCIERA"/>
    <s v="C/U"/>
    <m/>
    <n v="0"/>
    <n v="0"/>
    <m/>
    <n v="0"/>
    <n v="0"/>
    <m/>
    <n v="0"/>
    <n v="0"/>
    <n v="37500"/>
    <n v="0.4"/>
    <n v="15000"/>
    <n v="37500"/>
    <n v="0.4"/>
    <n v="15000"/>
    <n v="30000"/>
    <s v="MINSAL"/>
    <s v="se compraran respiradores para personal de la red de laboratorios de los diferentes niveles de atencion, como parte de control de  infeecciones y fortalecimiento en las medidas de bioseguridad, el uso del respeirador es recomendamendado para proteccion de los profesionales en el momento que realizan las tecnicas en las cuales siempre hay formaciones de aerosoles, que son las particulas infecciosas que son detenidas por las barreras de filtracion que traen los respiradores."/>
  </r>
  <r>
    <s v="Prevención de la TB/TB-DR"/>
    <s v="Prevención y control de infecciones"/>
    <n v="5"/>
    <s v="4.Fortalecimiento de sistema de salud, sistema de información, vigilancia e investigación, innovación tecnológica"/>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CP-6a Número de casos de tuberculosis (en todas sus formas) notificados entre privados de libertad"/>
    <s v="4.1.3 Fortalecer las medidas de control de infecciones  en el SNIS y en el sistema penitenciario y bartolinas"/>
    <s v="Trabajadores de salud"/>
    <s v="Compra equipo de protección personal y brindar acompañamiento para los trabajadores de salud (respiradores N95 y mascarillas )"/>
    <s v="Dr. Cristian Henriquez / Lic. Yanira Chita"/>
    <m/>
    <s v="MINSAL"/>
    <s v="C/U"/>
    <s v="1"/>
    <n v="15000"/>
    <n v="15000"/>
    <s v="1"/>
    <n v="15000"/>
    <n v="15000"/>
    <s v="1"/>
    <n v="15000"/>
    <n v="15000"/>
    <n v="1"/>
    <n v="5000"/>
    <n v="5000"/>
    <n v="1"/>
    <n v="5000"/>
    <n v="5000"/>
    <n v="55000"/>
    <s v="PNUD"/>
    <s v="Se realizara compra de equipos de proteccion personal como mascarillas, respiradores N95, gabachones, lentes y guantes entre otros insumos consumibles. Estos seran entregados al personal multidisciplinario de la DGCP,DGCI, PNC, como fortalecimiento de las medida de control de infecciones, proteccion respiratoria, bioseguridad con buenas prácticas en los laboratorios de centros penales. Para los años 4 y 5 existe una brecha que debe ser contemplado en los presupuestos del MJSP/ DGCP/ PNC."/>
  </r>
  <r>
    <s v="Gestión de programas"/>
    <s v="Gestión de subvenciones"/>
    <n v="11"/>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instituciones del Sistema Nacional Integrado de Salud aplicando y operativizando la normativa en los establecimientos de salud"/>
    <s v="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
    <s v=" Gastos de administración del RP para apoyo a las diferentes unidades de gestión y ejecución. (UPTYER y otras unidades de apoyo)"/>
    <s v="Todas las poblaciones"/>
    <s v="Compra de insumos de papeleria para el funcionamiento de la UPTYER "/>
    <s v="Lic. Karla Sánchez"/>
    <s v="FM-L4"/>
    <s v="FONDO MUNDIAL"/>
    <s v="C/U"/>
    <n v="1"/>
    <n v="3407.5"/>
    <n v="3407.5"/>
    <n v="1"/>
    <n v="2870.8"/>
    <n v="2870.8"/>
    <n v="1"/>
    <n v="4553.5"/>
    <n v="4553.5"/>
    <m/>
    <m/>
    <n v="0"/>
    <m/>
    <m/>
    <n v="0"/>
    <n v="10831.8"/>
    <s v="MINSAL"/>
    <s v="Los insumos de papeleria son de importancia para el desarrollo de actividades diarias, como lo es la impresion de documentos, memorándums, y otros documentos que son necesarios para la coordinación de actividades."/>
  </r>
  <r>
    <s v="Gestión de programas"/>
    <s v="Gestión de subvenciones"/>
    <n v="11"/>
    <s v="3.Políticas de salud, intersectorialidad, multisectorialidad, estrategia de participación comunitaria e interculturalidad. "/>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instituciones del Sistema Nacional Integrado de Salud aplicando y operativizando la normativa en los establecimientos de salud"/>
    <s v="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
    <s v="Gastos de administración del RP para apoyo a las diferentes unidades de gestión y ejecución. (UPTYER y otras unidades de apoyo)"/>
    <s v="Todas las poblaciones"/>
    <s v="Compra de insumos informaticos y equipo para el funcionamiento de la UPTYER "/>
    <s v="Lic. Karla Sánchez"/>
    <s v="FM-L4"/>
    <s v="FONDO MUNDIAL"/>
    <s v="C/U"/>
    <n v="1"/>
    <n v="13950"/>
    <n v="13950"/>
    <n v="1"/>
    <n v="19285.5"/>
    <n v="19285.5"/>
    <n v="1"/>
    <n v="22262"/>
    <n v="22262"/>
    <m/>
    <m/>
    <n v="0"/>
    <m/>
    <m/>
    <n v="0"/>
    <n v="55497.5"/>
    <s v="MINSAL"/>
    <s v="Los insumos informaticos consisten en los consumibles de todos los impresores de la unidad, y otros consumibles que apoyan en eld desarrollo de actividades de los técnicos, como para la limpieza de los equipos informáticos, periféricos: mouse y teclados."/>
  </r>
  <r>
    <s v="Eliminar los obstáculos relacionados con los derechos humanos y el género que dificultan el acceso a los servicios de tuberculosis"/>
    <s v="Asegurar servicios de tuberculosis centrados en las personas y basados en los derechos en los establecimientos de salud"/>
    <n v="10"/>
    <s v="3.Políticas de salud, intersectorialidad, multisectorialidad, estrategia de participación comunitaria e interculturalidad. "/>
    <s v="Meta 3.3: Fortalecer la estrategia de ENGAGE TB integrando a más ONG/OSC y otros actores en actividades comunitarias para la prevención y control de la tuberculosis. "/>
    <s v="3.3- Continuar con la implementación de la estrategia ENGAGE TB de abordaje de control de la TB."/>
    <s v="Porcentaje de organizaciones no gubernamentales y otras organizaciones de la sociedad civil integradas en las actividades comunitarias de lucha contra la tuberculosis"/>
    <s v="TBDT-3a    _x000a_Porcentaje de pacientes notificados con todas las formas de _x000a_tuberculosis (esto es, confirmada bacteriológicamente + _x000a_diagnosticada clínicamente) aportados por proveedores ajenos al _x000a_programa nacional de tuberculosis – establecimientos privados o _x000a_no gubernamentales; *incluye únicamente pacientes nuevos y _x000a_recaídas. "/>
    <s v=" Implementar la estrategia de abordaje de control de la TB ENGAGE TB e interculturalidad"/>
    <s v="Todas las poblaciones"/>
    <s v="Contratación de una empresa para el diseño,maquetación e impresión de  (1,200 rotafolios)"/>
    <s v="Lic. Daniel Castro"/>
    <s v="FM-L3"/>
    <s v="FONDO MUNDIAL-UQD"/>
    <s v="C/U"/>
    <s v="1"/>
    <n v="20000"/>
    <n v="20000"/>
    <s v="1"/>
    <n v="0"/>
    <n v="0"/>
    <n v="1"/>
    <n v="0"/>
    <n v="0"/>
    <n v="0"/>
    <n v="0"/>
    <n v="0"/>
    <n v="1"/>
    <n v="0"/>
    <n v="0"/>
    <n v="20000"/>
    <s v="PNUD"/>
    <s v="Contratación de empresa para diseño e impresión de 1,200 rotafolios sobre tuberculosis."/>
  </r>
  <r>
    <s v="Colaboración con otros proveedores y sectores"/>
    <s v="Colaboración con otros programas o sectores"/>
    <n v="3"/>
    <s v="4.Fortalecimiento de sistema de salud, sistema de información, vigilancia e investigación, innovación tecnológica"/>
    <s v="Meta 4.2: Realizar al menos 3 estudios de investigación epidemiológica y/o operativa por parte del sector salud e instituciones formadoras de recursos humanos en salud"/>
    <s v="4.4- Desarrollo y generación de conocimiento en la atención integral de la tuberculosis y de la investigación científica."/>
    <s v="Número de investigaciones epidemiológicas y/o operativas desarrolladas por parte del SNIS e instituciones formadoras de recursos humanos en salud"/>
    <s v="TB I-2 : Tasa de incidencia de TB por 100 000 habitantes."/>
    <s v=" Diseño y ejecución de diplomado en el año, con personal multidisciplinarios, para la atención integral de la tuberculosis."/>
    <s v="Todas las poblaciones"/>
    <s v="Contratacion de una Institucion formadora de recursos para el desarrollo del Diplomado en Atencion Integral a la Tuberculosis."/>
    <s v="Dr. Mario Soto"/>
    <s v="FM-L4"/>
    <s v="FONDO MUNDIAL"/>
    <s v="C/U"/>
    <n v="1"/>
    <n v="0"/>
    <n v="0"/>
    <n v="1"/>
    <n v="25000"/>
    <n v="25000"/>
    <n v="1"/>
    <n v="25000"/>
    <n v="25000"/>
    <m/>
    <n v="0"/>
    <n v="0"/>
    <m/>
    <n v="0"/>
    <n v="0"/>
    <n v="50000"/>
    <s v="PNUD"/>
    <s v="Para los 5 años se desarrollaran  un diplomado al año con financiamiento de proyecto Fondo Mundial , para la actualizaciòn y formaciòn de cuadros para el manejo clinico y programatico de la TB (estrategias de captación, detección, seguimiento y tratamiento) para los responsables de Programa de TB en niveles operativos del sector salud e instituciones formadoras de recursos._x000a_Se incorporaran las instituciones formadoras de recursos en salud."/>
  </r>
  <r>
    <s v="Colaboración con otros proveedores y sectores"/>
    <s v="Colaboración con otros programas o sectores"/>
    <n v="3"/>
    <s v="4.Fortalecimiento de sistema de salud, sistema de información, vigilancia e investigación, innovación tecnológica"/>
    <s v="Meta 4.2: Realizar al menos 3 estudios de investigación epidemiológica y/o operativa por parte del sector salud e instituciones formadoras de recursos humanos en salud"/>
    <s v="4.4- Desarrollo y generación de conocimiento en la atención integral de la tuberculosis y de la investigación científica."/>
    <s v="Número de investigaciones epidemiológicas y/o operativas desarrolladas por parte del SNIS e instituciones formadoras de recursos humanos en salud"/>
    <s v="TB I-2 : Tasa de incidencia de TB por 100 000 habitantes."/>
    <s v=" Diseño y ejecución de diplomado en el año, con personal multidisciplinarios, para la atención integral de la tuberculosis."/>
    <s v="Todas las poblaciones"/>
    <s v="Contratacion de una Institucion formadora de recursos para el desarrollo del Diplomado en Atencion Integral a la Tuberculosis."/>
    <s v="Dr. Mario Soto"/>
    <s v="FM-L4"/>
    <s v="BRECHA FINANCIERA"/>
    <s v="C/U"/>
    <n v="0"/>
    <m/>
    <n v="0"/>
    <m/>
    <n v="0"/>
    <n v="0"/>
    <m/>
    <n v="0"/>
    <n v="0"/>
    <n v="1"/>
    <n v="25000"/>
    <n v="25000"/>
    <n v="1"/>
    <n v="25000"/>
    <n v="25000"/>
    <n v="50000"/>
    <s v="PNUD"/>
    <s v="Para los 5 años se desarrollaran  un diplomado al año con financiamiento de proyecto Fondo Mundial , para la actualizaciòn y formaciòn de cuadros para el manejo clinico y programatico de la TB (estrategias de captación, detección, seguimiento y tratamiento) para los responsables de Programa de TB en niveles operativos del sector salud e instituciones formadoras de recursos._x000a_Se incorporaran las instituciones formadoras de recursos en salud."/>
  </r>
  <r>
    <s v="Gestión de programas"/>
    <s v="Gestión de subvenciones"/>
    <n v="3"/>
    <s v="4.Fortalecimiento de sistema de salud, sistema de información, vigilancia e investigación, innovación tecnológica"/>
    <s v="Meta 4.2: Realizar al menos 3 estudios de investigación epidemiológica y/o operativa por parte del sector salud e instituciones formadoras de recursos humanos en salud"/>
    <s v="4.6 Protección social a las familias afectadas por tuberculosis, con el fin de que la enfermedad no represente un costo catastrófico y DQR."/>
    <s v="Número de investigaciones epidemiológicas y/o operativas desarrolladas por parte del SNIS e instituciones formadoras de recursos humanos en salud"/>
    <s v="TB I-2 : Tasa de incidencia de TB por 100 000 habitantes."/>
    <s v="4.6.1 Desarrollo de estudios de la calidad del dato (DQR) y de costos catastroficos"/>
    <s v="Todas las poblaciones"/>
    <s v="Contratacion de consultor, empresa o institucion para al elaboracion y ejecucion del estudio de costos catastroficos, y calidad del dato (DQR)"/>
    <s v="Dr. Cristian Henrique /Dr. Gilberto Ayala"/>
    <m/>
    <s v="FONDO MUNDIAL-UQD"/>
    <s v="C/U"/>
    <n v="1"/>
    <n v="45000"/>
    <n v="45000"/>
    <n v="1"/>
    <n v="80000"/>
    <n v="80000"/>
    <n v="0"/>
    <n v="0"/>
    <n v="0"/>
    <n v="0"/>
    <n v="0"/>
    <n v="0"/>
    <n v="1"/>
    <n v="0"/>
    <n v="0"/>
    <n v="125000"/>
    <s v="PNUD"/>
    <s v="Se realizara como parte de los requisitos solicitados a traves de la subvencion y para dar cumplimiento a brindar informes con calidad del dato, se contratara a una empresa que realice el Data Quality Review en el 2do año de las subvencion con un monto $80,000.00 _x000a_Dentro de las metas/hitos de la estrategica fin de la tuberculosis se tiene el compriomiso pais el reportar la medicion de lo costo catastrofico en TB; medicion que nos permite conocer el rubro de gasto que esta afectando a las familias que incurre en estos costos y asi poder buscar estrategias que nos pemite disminuir este porcentaje de familia."/>
  </r>
  <r>
    <s v="Gestión de programas"/>
    <s v="Gestión de subvenciones"/>
    <n v="2"/>
    <s v="4.Fortalecimiento de sistema de salud, sistema de información, vigilancia e investigación, innovación tecnológica"/>
    <s v="Meta 3.1: Aplicar la estrategia Fin de Tuberculosis en el 100% de los participantes del SNIS y otros proveedores de salud."/>
    <s v="4.4- Desarrollo y generación de conocimiento en la atención integral de la tuberculosis y de la investigación científica."/>
    <s v="Porcentaje de RRHH fortalecido en el abordaje intercultural de la tuberculosis"/>
    <s v="TB I-2 Tasa de incidencia de la tuberculosis por 100.000 habitantes."/>
    <s v="Asistencia a reuniones, cursos, seminarios, congresos, para personal tecnico multidiciplinario de  salud _x000a_"/>
    <s v="Todas las poblaciones"/>
    <s v="Compra de boletos aereos"/>
    <s v="Lic. Gilma de Romero"/>
    <s v="FM-L4"/>
    <s v="FONDO MUNDIAL"/>
    <s v="C/U"/>
    <n v="1"/>
    <n v="4500"/>
    <n v="4500"/>
    <n v="0"/>
    <n v="4500"/>
    <n v="0"/>
    <n v="1"/>
    <n v="4500"/>
    <n v="4500"/>
    <n v="0"/>
    <n v="0"/>
    <n v="0"/>
    <n v="0"/>
    <n v="0"/>
    <n v="0"/>
    <n v="9000"/>
    <s v="MINSAL"/>
    <s v="Compra de Boletos Aéreos para asistencia a reuniones Regionales  Internacionales, cursos, seminarios, congresos, delegaciones por parte de tecnicos multidiciplinarios para la presentaciòn de trabajo en diversos foros que trabajen en la respuesta Nacional de la lucha cotra la TB en la temetica de TB, TB VIH TB MDR, TB derechos Humanos, TB Genero, investigacion y otros como curso internacional de epidemiologia y control de la tuberculosis por la UNION, relacionados al cumplimiento de metas y objetivos del plan TB ya sean tecnicos administrativos o financieros. Incluye congresos Nacionales y capacitacion especializadas en paquetes informaticos"/>
  </r>
  <r>
    <s v="Gestión de programas"/>
    <s v="Gestión de subvenciones"/>
    <n v="2"/>
    <s v="4.Fortalecimiento de sistema de salud, sistema de información, vigilancia e investigación, innovación tecnológica"/>
    <s v="Meta 3.1: Aplicar la estrategia Fin de Tuberculosis en el 100% de los participantes del SNIS y otros proveedores de salud."/>
    <s v="4.4- Desarrollo y generación de conocimiento en la atención integral de la tuberculosis y de la investigación científica."/>
    <s v="Porcentaje de RRHH fortalecido en el abordaje intercultural de la tuberculosis"/>
    <s v="TB I-2 Tasa de incidencia de la tuberculosis por 100.000 habitantes."/>
    <s v="Asistencia a reuniones, cursos, seminarios, congresos, para personal tecnico multidiciplinario de  salud _x000a_"/>
    <s v="Todas las poblaciones"/>
    <s v="Inscripciones viaticos y otros"/>
    <s v="Lic. Gilma de Romero"/>
    <s v="FM-L4"/>
    <s v="FONDO MUNDIAL"/>
    <s v="C/U"/>
    <n v="1"/>
    <n v="3900"/>
    <n v="3900"/>
    <m/>
    <n v="3900"/>
    <n v="0"/>
    <n v="1"/>
    <n v="3900"/>
    <n v="3900"/>
    <m/>
    <m/>
    <n v="0"/>
    <m/>
    <m/>
    <n v="0"/>
    <n v="7800"/>
    <s v="MINSAL"/>
    <s v="Pago de inscripciones, pago de cursos y/o capacitaciones, viaticos y otros para la participacion de los profesionales ya sea a nivel Nacional o Internacional."/>
  </r>
  <r>
    <s v="Gestión de programas"/>
    <s v="Gestión de subvenciones"/>
    <n v="7"/>
    <s v="5.Transición, sostenibilidad y financiamiento"/>
    <s v="Meta 1: Detectar al menos el 90% de la incidencia de TB estimados por la OMS."/>
    <s v="3. Fortalecer el uso eficiente de los recursos existentes (eficiencia) "/>
    <s v="Tasa de incidencia de tuberculosis por cada 100,000 habitantes (&amp;)"/>
    <s v="TB I-2 Tasa de incidencia de la tuberculosis por 100.000 habitantes."/>
    <s v="PAGO DE OVERHEAD PNUD"/>
    <s v="Todas las poblaciones"/>
    <s v="Servicios de desaduanajes, fletes, seguros de bienes, y otros gastos relacionados por compras a traves del PNUD PAGO DE OVERHEAD PNUD_x000a_PAGO DE ISSS A PNUD"/>
    <s v="UPCTYER"/>
    <s v="FM-L5"/>
    <s v="FONDO MUNDIAL"/>
    <s v="C/U"/>
    <n v="1"/>
    <n v="0"/>
    <n v="26145.418000000001"/>
    <n v="1"/>
    <n v="0"/>
    <n v="19122.818000000003"/>
    <n v="1"/>
    <n v="0"/>
    <n v="21430.63"/>
    <n v="1"/>
    <n v="0"/>
    <n v="0"/>
    <n v="1"/>
    <n v="0"/>
    <n v="0"/>
    <n v="66698.866000000009"/>
    <s v="PNUD"/>
    <s v="Pago del OVERHEAD a PNUD por las compras realizadas a traves de este organismo."/>
  </r>
  <r>
    <s v="Gestión de programas"/>
    <s v="Gestión de subvenciones"/>
    <n v="7"/>
    <s v="5.Transición, sostenibilidad y financiamiento"/>
    <s v="Meta 5.1: Aumentar en al menos el 5% el gasto doméstico para dar respuesta a la lucha contra la tuberculosis."/>
    <s v="3. Fortalecer el uso eficiente de los recursos existentes (eficiencia) "/>
    <s v="Tasa de incidencia de tuberculosis por cada 100,000 habitantes (&amp;)"/>
    <s v="TB O-2a Tasa de éxito del tratamiento en todas las formas de tuberculosis, confirmada bacteriológicamente y con diagnóstico clínico, casos nuevos y recaídas."/>
    <s v="Pago por servicios de desaduanajes, fletes seguros a terceros y /o pagos por contratos de servicios a segundos y/o a terceros para trabajos realizado "/>
    <s v="Todas las poblaciones"/>
    <s v="Servicios de desaduanajes, fletes, seguros de bienes, y otros gastos relacionados por compras a traves de OPS. PAGO DE OVERHEAD A OPS"/>
    <s v="UPCTYER"/>
    <s v="FM-L5"/>
    <s v="FONDO MUNDIAL"/>
    <s v="C/U"/>
    <n v="1"/>
    <n v="0"/>
    <n v="61183.899400000002"/>
    <n v="1"/>
    <n v="0"/>
    <n v="52095.542200000004"/>
    <n v="1"/>
    <n v="0"/>
    <n v="45666.688600000001"/>
    <n v="1"/>
    <n v="0"/>
    <n v="0"/>
    <n v="1"/>
    <n v="0"/>
    <n v="0"/>
    <n v="158946.13020000001"/>
    <s v="OPS"/>
    <s v="Servicios de desaduanajes, fletes, seguros de bienes, y otros gastos relacionados por compras a traves de OPS. No incluyen impuestos"/>
  </r>
  <r>
    <s v="Gestión de programas"/>
    <s v="Gestión de subvenciones"/>
    <n v="7"/>
    <s v="5.Transición, sostenibilidad y financiamiento"/>
    <s v="Meta 1: Detectar al menos el 90% de la incidencia de TB estimados por la OMS."/>
    <s v="3. Fortalecer el uso eficiente de los recursos existentes (eficiencia) "/>
    <s v="Tasa de incidencia de tuberculosis por cada 100,000 habitantes (&amp;)"/>
    <s v="TB I-2 Tasa de incidencia de la tuberculosis por 100.000 habitantes."/>
    <s v="PAGO DE OVERHEAD PNUD"/>
    <s v="Todas las poblaciones"/>
    <s v="Servicios de desaduanajes, fletes, seguros de bienes, y otros gastos relacionados por compras a traves del PNUD PAGO DE OVERHEAD PNUD_x000a_PAGO DE ISSS A PNUD"/>
    <s v="UPCTYER"/>
    <s v="FM-L5"/>
    <s v="FONDO MUNDIAL-UQD"/>
    <s v="C/U"/>
    <n v="1"/>
    <n v="0"/>
    <n v="24122.670000000002"/>
    <n v="1"/>
    <n v="0"/>
    <n v="23495.55"/>
    <n v="1"/>
    <n v="0"/>
    <n v="12767.95"/>
    <m/>
    <n v="10407.449999999999"/>
    <n v="0"/>
    <m/>
    <n v="12018"/>
    <n v="0"/>
    <n v="60386.17"/>
    <s v="PNUD"/>
    <s v="Pago del OVERHEAD a PNUD por las compras realizadas a traves de este organismo."/>
  </r>
  <r>
    <s v="Gestión de programas"/>
    <s v="Gestión de subvenciones"/>
    <n v="7"/>
    <s v="5.Transición, sostenibilidad y financiamiento"/>
    <s v="Meta 5.1: Aumentar en al menos el 5% el gasto doméstico para dar respuesta a la lucha contra la tuberculosis."/>
    <s v="3. Fortalecer el uso eficiente de los recursos existentes (eficiencia) "/>
    <s v="Tasa de incidencia de tuberculosis por cada 100,000 habitantes (&amp;)"/>
    <s v="TB O-2a Tasa de éxito del tratamiento en todas las formas de tuberculosis, confirmada bacteriológicamente y con diagnóstico clínico, casos nuevos y recaídas."/>
    <s v="Pago por servicios de desaduanajes, fletes seguros a terceros y /o pagos por contratos de servicios a segundos y/o a terceros para trabajos realizado "/>
    <s v="Todas las poblaciones"/>
    <s v="Servicios de desaduanajes, fletes, seguros de bienes, y otros gastos relacionados por compras a traves de OPS. PAGO DE OVERHEAD A OPS"/>
    <s v="UPCTYER"/>
    <s v="FM-L5"/>
    <s v="FONDO MUNDIAL-UQD"/>
    <s v="C/U"/>
    <n v="1"/>
    <n v="0"/>
    <m/>
    <n v="1"/>
    <n v="0"/>
    <n v="67413.450000000012"/>
    <n v="1"/>
    <n v="0"/>
    <n v="0"/>
    <n v="1"/>
    <n v="0"/>
    <n v="0"/>
    <n v="1"/>
    <n v="0"/>
    <n v="0"/>
    <n v="67413.450000000012"/>
    <s v="OPS"/>
    <s v="Servicios de desaduanajes, fletes, seguros de bienes, y otros gastos relacionados por compras a traves de OPS. No incluyen impuestos"/>
  </r>
  <r>
    <s v="Gestión de programas"/>
    <s v="Gestión de subvenciones"/>
    <n v="11"/>
    <s v="4.Fortalecimiento de sistema de salud, sistema de información, vigilancia e investigación, innovación tecnológica"/>
    <s v="4.4 Reporte de información de vigilancia epidemiológica por el 100 % de las instituciones que integran el SNIS"/>
    <s v="2.8 Mejora de la calidad y enfoques de los Programas y la prestación de los servicios"/>
    <s v="Tasa de incidencia de tuberculosis por cada 100,000 habitantes (&amp;)"/>
    <s v="TB I-2 : Tasa de incidencia de TB por 100 000 habitantes."/>
    <s v="Adquisicion de bienes y servicios de menor cuantia y emergente"/>
    <s v="Todas las poblaciones"/>
    <s v="Gastos de caja chica"/>
    <s v="Lic. Gilma de Romero"/>
    <s v="FM-L4"/>
    <s v="FONDO MUNDIAL"/>
    <s v="C/U"/>
    <n v="12"/>
    <n v="158.69"/>
    <n v="1904.28"/>
    <n v="12"/>
    <n v="158.69"/>
    <n v="1904.28"/>
    <n v="12"/>
    <n v="158.69"/>
    <n v="1904.28"/>
    <m/>
    <m/>
    <n v="0"/>
    <m/>
    <m/>
    <n v="0"/>
    <n v="5712.84"/>
    <s v="MINSAL"/>
    <s v="Caja Chica para gastos emergentes no previstos"/>
  </r>
  <r>
    <s v="Gestión de programas"/>
    <s v="Gestión de subvenciones"/>
    <n v="3"/>
    <s v="2. Diagnóstico y tratamiento de pacientes con tuberculosis sensible y tuberculosis drogorresistente "/>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6: Porcentaje de pacientes con tuberculosis y con resultado de PSF a la rifampicina entre el número total de pacientes notificados (nuevos y en retratamiento) durante el período de reporte."/>
    <s v="Pago a Comité Luz Verde"/>
    <s v="Todas las poblaciones"/>
    <s v="Pago Comité Luz Verde"/>
    <s v="Lic. Karla Sánchez"/>
    <s v="FM-L2"/>
    <s v="FONDO MUNDIAL"/>
    <s v="C/U"/>
    <s v="1"/>
    <n v="25000"/>
    <n v="25000"/>
    <s v="1"/>
    <n v="25000"/>
    <n v="25000"/>
    <s v="1"/>
    <n v="25000"/>
    <n v="25000"/>
    <m/>
    <m/>
    <n v="0"/>
    <m/>
    <m/>
    <n v="0"/>
    <n v="75000"/>
    <s v="OPS"/>
    <s v="Pago a Comité de Luz Verde"/>
  </r>
  <r>
    <s v="Colaboración con otros proveedores y sectores"/>
    <s v="Colaboración con otros programas o sectores"/>
    <n v="2"/>
    <s v="3.Políticas de salud, intersectorialidad, multisectorialidad, estrategia de participación comunitaria e interculturalidad. "/>
    <s v="Aplicar la estrategia Fin de Tuberculosis en el 100% de los participantes del SNIS y otros proveedores de salud."/>
    <s v="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
    <s v="Porcentaje de servicios del Sistema Nacional Integrado de Salud, centros penales y organizaciones de la sociedad civil operativizando la Estrategia Fin de la TB"/>
    <s v="Porcentaje de servicios del Sistema Nacional Integrado de Salud, Centros Penales y organizaciones de la sociedad civil operativizando la Estrategia Fin de la TB"/>
    <s v="Monitoreo y seguimiento a  instituciones formadoras de recursos humanos en salud, implementando la estrategia Fin de la TB en las cartas didacticas.  "/>
    <s v="Todas las poblaciones"/>
    <s v="Reuniones de comité de Docencia - 8 reuniones al año"/>
    <s v="Lic. Daniel Castro"/>
    <s v="Universidades que Conforman el Comité Nacional de Docencia"/>
    <s v="COMITÉ NACIONAL DE DOCENCIA"/>
    <s v="Por Persona"/>
    <n v="8"/>
    <n v="1568.64"/>
    <n v="12549.12"/>
    <n v="8"/>
    <n v="1568.64"/>
    <n v="12549.12"/>
    <n v="8"/>
    <n v="1568.64"/>
    <n v="12549.12"/>
    <n v="8"/>
    <n v="1568.64"/>
    <n v="12549.12"/>
    <n v="8"/>
    <n v="1568.64"/>
    <n v="12549.12"/>
    <n v="62745.600000000006"/>
    <s v="UNIVERSIDADES"/>
    <s v="Se realizarán 8 reuniones virtuales o presenciales en el año (cada 2 meses), con los miembros integrantes del Comite Nacional de Docencia,  32 personas en cada reunión, durante 6 horas, a un costo de $ por reunión, valor del salario del recurso participante; obtenido de la siguiente manera: salario promedio mensual $,000.00 entre 30 días = $., entre 8 horas = $ x 6 horas = $ por persona x 32 personas = $ costo de cada reunión. $ 1,568.64 ( 32 a un costo de $ 8.17 por hora y la reunion es de una duracion de 6 hora)  "/>
  </r>
  <r>
    <s v="Diagnóstico, tratamiento y atención de la TB"/>
    <s v="Tratamiento, atención y apoyo para la TB"/>
    <n v="1"/>
    <s v="1.Abordaje oportuno de la TB en grupos de mayor riesgo y vulnerabilidad con enfoque centrado en la persona. "/>
    <s v="META 1. Detectar al menos el 90% de la incidencia de casos de TB estimados por la OMS."/>
    <s v="1.2 Detectar precozmente casos de tuberculosis sensibles y resistente priorizando a los grupos vulnerables (PPL, trabajadores de salud, población infantil, adultos con enfermedades crónicas no trasmisibles, población migrantes, seguimiento de los contactos entre otros)."/>
    <s v="Tasa de incidencia de tuberculosis por cada 100,000 habitantes (&amp;)"/>
    <s v="TB I-2 : Tasa de incidencia de TB por 100 000 habitantes."/>
    <s v="Apoyo de recurso humano para el funcionamiento de actividades de prevencion y control de la Tuberculosis"/>
    <s v="Todas las poblaciones"/>
    <s v="Asignación de funciones a recursos humanos para la preveción, control y M&amp;E de la TB"/>
    <s v="Lic. Gilma de Romero"/>
    <s v="FS,7"/>
    <s v="FOSALUD"/>
    <s v="Por Persona"/>
    <n v="1"/>
    <n v="338122.02"/>
    <n v="338122.02"/>
    <n v="1"/>
    <n v="338122.02"/>
    <n v="338122.02"/>
    <n v="1"/>
    <n v="338122.02"/>
    <n v="338122.02"/>
    <n v="1"/>
    <n v="355028.12"/>
    <n v="355028.12"/>
    <n v="1"/>
    <n v="372779.52000000002"/>
    <n v="372779.52000000002"/>
    <n v="1742173.7000000002"/>
    <s v="FOSALUD"/>
    <s v="Corresponde al pago de salarios de recursos humanos de FOSALUD que en su trabajo rutinario apoya las actividades e intervenciones para la prevencion y control de la Tuberculosis, referencias, captación de muestras y tratamiento de tuberculosis en el primer nivel de atención:  medicos y  enfermeras."/>
  </r>
  <r>
    <s v="Diagnóstico, tratamiento y atención de la TB"/>
    <s v="Tratamiento, atención y apoyo para la TB"/>
    <n v="1"/>
    <s v="2. Diagnóstico y tratamiento de pacientes con tuberculosis sensible y tuberculosis drogorresistente "/>
    <s v="Meta 2.1: Cobertura de tratamiento para Tuberculosis activa ≥90%. "/>
    <s v="5.2-Incrementar la financiación doméstica para la respuesta a la tuberculosis (financiación)."/>
    <s v="Porcentaje de gastos en prevención y control de la tuberculosis por el MINSAL, en relación al gasto público total"/>
    <s v="TB O-2a Tasa de éxito del tratamiento en todas las formas de tuberculosis, confirmada bacteriológicamente y con diagnóstico clínico, casos nuevos y recaídas."/>
    <s v="Atenciones a pacientes con TB o con sospecha, ambulatoria, hospitalarias y apoyo vital a clientes/población."/>
    <s v="Todas las poblaciones"/>
    <s v="Pago de salarios y prestaciones de ley a personal de salud que brindan atenciones ambulatoria, atenciones hospitalarias, apoyo vital a clientes/población con sospecha o diagnosticada con TB, personal técnico y administrativo del Programa y MINSAL."/>
    <s v="Lic. Gilma de Romero"/>
    <s v="MINSAL "/>
    <s v="MINSAL"/>
    <s v="C/U"/>
    <n v="1"/>
    <n v="5699895.0500000007"/>
    <n v="5699895.0500000007"/>
    <n v="1"/>
    <n v="5984889.8025000012"/>
    <n v="5984889.8025000012"/>
    <n v="1"/>
    <n v="6284134.2926250016"/>
    <n v="6284134.2926250016"/>
    <n v="1"/>
    <n v="6598341.0072562518"/>
    <n v="6598341.0072562518"/>
    <n v="1"/>
    <n v="6928258.057619065"/>
    <n v="6928258.057619065"/>
    <n v="31495518.210000321"/>
    <s v="MINSAL"/>
    <s v="Corresponde al pago de los recursos humanos que brindan del MINSAL atenciones  en: consulta externa (por TB pulmonar, extrapulmonar y Sintomáticos Respiratorios) y regiones de salud; acciones de búsqueda de sintomáticos respiratorios, TAES institucional y comunitario; visita domiciliar, consejerías, sesiones educativas, entre otras, estimado en la informacion según MEGA TB 2022, pagina 31 ,Tabla 4. Gasto en tuberculosis según entidades y categorías de gasto. Año 2022. Estimado para los 5 años, con la sumatoria de los dos rubros mas un 5% de aumento por escalafón a empleados que perciben un salario menor a los $3000.00 , y con el mismo aumento  por cada año empezando en 2025. "/>
  </r>
  <r>
    <s v="Diagnóstico, tratamiento y atención de la TB"/>
    <s v="Tratamiento, atención y apoyo para la TB"/>
    <n v="4"/>
    <s v="2. Diagnóstico y tratamiento de pacientes con tuberculosis sensible y tuberculosis drogorresistente "/>
    <s v="Meta 2.1: Cobertura de tratamiento para Tuberculosis activa ≥90%. "/>
    <s v="2.5-Proporcionar tratamiento oportuno a todas las personas con TB sensible y drogorresistente para alcanzar la curación."/>
    <s v="Porcentaje de gastos en prevención y control de la tuberculosis por el MINSAL, en relación al gasto público total"/>
    <s v="TB O-2a Tasa de éxito del tratamiento en todas las formas de tuberculosis, confirmada bacteriológicamente y con diagnóstico clínico, casos nuevos y recaídas."/>
    <s v="Compra institucional de productos de salud,  productos farmaceuticos y pruebas diagnosticas"/>
    <s v="Todas las poblaciones"/>
    <s v="Compra de productos farmaceuticos, medicamentos, insumos médicos y pruebas diagnóstico."/>
    <s v="Lic. Gilma de Romero"/>
    <s v="MINSAL "/>
    <s v="MINSAL"/>
    <s v="C/U"/>
    <n v="1"/>
    <n v="4674279.54"/>
    <n v="4674279.54"/>
    <n v="1"/>
    <n v="4767765.1308000004"/>
    <n v="4767765.1308000004"/>
    <n v="1"/>
    <n v="4863120.4334160006"/>
    <n v="4863120.4334160006"/>
    <n v="1"/>
    <n v="4960382.8420843203"/>
    <n v="4960382.8420843203"/>
    <n v="1"/>
    <n v="5059590.4989260072"/>
    <n v="5059590.4989260072"/>
    <n v="24325138.445226327"/>
    <s v="MINSAL"/>
    <s v="Corresponde a la compra institucional MINSAL de productos de salud,  productos farmaceuticos y pruebas diagnosticas estimado en la informacion según MEGA TB 2022, paginas 31,Tabla 4. Gasto público en tuberculosis según categorías de gasto y fuentes de financiamiento 2022. Estimado para los 5 años, con la sumatoria de los dos rubros mas un 2% de aumento por inflación, y con el mismo aumento  por cada año empezando en 2025. El calculo incluye un $1,000,000.00 adicional, que se gestionarán para la ejecución de planes contingenciales y de abordaje de situeaciones emergentes contempladas en el Plan de Riesgo."/>
  </r>
  <r>
    <s v="Diagnóstico, tratamiento y atención de la TB"/>
    <s v="Tamizaje y diagnóstico de la tuberculosis"/>
    <m/>
    <s v="2. Diagnóstico y tratamiento de pacientes con tuberculosis sensible y tuberculosis drogorresistente "/>
    <s v="Meta 2.1: Cobertura de tratamiento para Tuberculosis activa ≥90%. "/>
    <m/>
    <m/>
    <m/>
    <s v="Compra institucional de productos de salud,  productos farmaceuticos y pruebas diagnosticas"/>
    <s v="Contactos de personas con TB y personas con VIH"/>
    <s v="Compra de  biológico PPD."/>
    <s v="Dr. Mario Soto"/>
    <s v="MINSAL "/>
    <s v="MINSAL"/>
    <s v="C/U"/>
    <n v="1"/>
    <n v="25875"/>
    <n v="25875"/>
    <n v="1"/>
    <n v="26392.5"/>
    <n v="26392.5"/>
    <n v="1"/>
    <n v="26920.350000000002"/>
    <n v="26920.350000000002"/>
    <n v="1"/>
    <n v="27458.757000000001"/>
    <n v="27458.757000000001"/>
    <n v="1"/>
    <n v="28007.932140000001"/>
    <n v="28007.932140000001"/>
    <n v="134654.53914000001"/>
    <s v="OPS"/>
    <s v="Corresponde a la compra institucional del MINSAL, de biológico PPD. Esto ha sido calculado, con base en las proyecciones, poblaciones e incremento de precios; según datos de compra historica de los ultimos 5 años. "/>
  </r>
  <r>
    <s v="Poblaciones clave y vulnerables – TB/TB-DR"/>
    <s v="Poblaciones clave y vulnerables – Personas en prisiones, cárceles o centros de detención"/>
    <m/>
    <s v="1.Abordaje oportuno de la TB en grupos de mayor riesgo y vulnerabilidad con enfoque centrado en la persona. "/>
    <s v="Meta 2.1: Cobertura de tratamiento para Tuberculosis activa ≥90%. "/>
    <m/>
    <m/>
    <m/>
    <s v="Compra institucional de productos de salud,  productos farmaceuticos y pruebas diagnosticas"/>
    <s v="Población de riesgo Privados de Libertad. (PPL)"/>
    <s v="Compra de  medicamentos antifimicos: primera linea para población de riesgo Privados de Libertad. (PPL)"/>
    <s v="Dr. Mario Soto"/>
    <s v="MINSAL "/>
    <s v="MINSAL"/>
    <s v="C/U"/>
    <n v="3319"/>
    <n v="35.904000000000003"/>
    <n v="119165.37600000002"/>
    <n v="3405"/>
    <n v="35.904000000000003"/>
    <n v="122253.12000000001"/>
    <n v="3655"/>
    <n v="39.6"/>
    <n v="144738"/>
    <n v="2420"/>
    <n v="39.6"/>
    <n v="95832"/>
    <n v="1735"/>
    <n v="42.35"/>
    <n v="73477.25"/>
    <n v="555465.74600000004"/>
    <s v="OPS"/>
    <s v="Corresponde a la compra institucional del MINSAL, de medicamentos antifímicos de primera linea (casos TB sensibles) para PPL, basado en las proyección estimada de casos en esta población."/>
  </r>
  <r>
    <s v="Poblaciones clave y vulnerables – TB/TB-DR"/>
    <s v="Poblaciones clave y vulnerables – Personas en prisiones, cárceles o centros de detención"/>
    <m/>
    <s v="1.Abordaje oportuno de la TB en grupos de mayor riesgo y vulnerabilidad con enfoque centrado en la persona. "/>
    <s v="Meta 2.1: Cobertura de tratamiento para Tuberculosis activa ≥90%. "/>
    <s v="2.5-Proporcionar tratamiento oportuno a todas las personas con TB sensible y drogorresistente para alcanzar la curación."/>
    <m/>
    <m/>
    <s v="Compra institucional de productos de salud,  productos farmaceuticos y pruebas diagnosticas"/>
    <s v="Poblacione de riesgo privados de libertad. (PPL)"/>
    <s v="Compra de  medicamentos antifimicos: Segunda línea para población de Riesgo PPL; para tratamiento de TB DR."/>
    <s v="Dr. Mario Soto"/>
    <s v="MINSAL "/>
    <s v="MINSAL"/>
    <s v="C/U"/>
    <n v="1"/>
    <n v="37164.74"/>
    <n v="37164.74"/>
    <n v="1"/>
    <n v="37794.720000000001"/>
    <n v="37794.720000000001"/>
    <n v="1"/>
    <n v="39684.46"/>
    <n v="39684.46"/>
    <n v="1"/>
    <n v="30235.78"/>
    <n v="30235.78"/>
    <n v="1"/>
    <n v="25196.48"/>
    <n v="25196.48"/>
    <n v="170076.18"/>
    <s v="OPS"/>
    <s v="Corresponde a la compra institucional del MINSAL, de medicamentos antifímicos de segunda linea (farmacos para tratar TB farmaco resistentes) para PPL, basado en las proyección estimada de casos en esta población, tomando en cuenta la detección historica de un 80% de los casos resistentes de nivel nacional estan en está población.."/>
  </r>
  <r>
    <s v="Poblaciones clave y vulnerables – TB/TB-DR"/>
    <s v="Poblaciones clave y vulnerables - Otros"/>
    <m/>
    <s v="1.Abordaje oportuno de la TB en grupos de mayor riesgo y vulnerabilidad con enfoque centrado en la persona. "/>
    <s v="Meta 2.1: Cobertura de tratamiento para Tuberculosis activa ≥90%. "/>
    <s v="2.5-Proporcionar tratamiento oportuno a todas las personas con TB sensible y drogorresistente para alcanzar la curación."/>
    <m/>
    <m/>
    <s v="Compra institucional de productos de salud,  productos farmaceuticos y pruebas diagnosticas"/>
    <s v="Población General; para tratamiento de TB DR."/>
    <s v="Compra de  medicamentos antifimicos: Segunda línea para población General; para tratamiento de TB DR."/>
    <s v="Dr. Mario Soto"/>
    <s v="MINSAL "/>
    <s v="MINSAL"/>
    <s v="C/U"/>
    <n v="11.8"/>
    <n v="787.38864406779658"/>
    <n v="9291.1859999999997"/>
    <n v="12"/>
    <n v="787.39"/>
    <n v="9448.68"/>
    <n v="12.600000000000001"/>
    <n v="787.39"/>
    <n v="9921.1140000000014"/>
    <n v="9.6000000000000014"/>
    <n v="787.39"/>
    <n v="7558.9440000000013"/>
    <n v="8"/>
    <n v="787.39"/>
    <n v="6299.12"/>
    <n v="42519.044000000009"/>
    <s v="OPS"/>
    <s v="Corresponde a la compra institucional del MINSAL, de medicamentos antifímicos de segunda linea (farmacos para tratar TB farmaco resistentes) para población general, basado en las proyección estimada, tomando en cuenta la detección historica de un 20% de los casos resistentes de nivel nacional estan en está población."/>
  </r>
  <r>
    <s v="Poblaciones clave y vulnerables – TB/TB-DR"/>
    <s v="Poblaciones clave y vulnerables – Personas en prisiones, cárceles o centros de detención"/>
    <m/>
    <s v="1.Abordaje oportuno de la TB en grupos de mayor riesgo y vulnerabilidad con enfoque centrado en la persona. "/>
    <s v="Meta 1.5: Disminuir al menos el 50% de la incidencia de casos de TB todas las formas en población privada de libertad. "/>
    <m/>
    <m/>
    <m/>
    <s v="Compra de productos de salud,  productos farmaceuticos."/>
    <s v="para población de Riesgo PPL."/>
    <s v="Compra de  medicamentos antifimicos: medicamentos para TPT. para población de Riesgo PPL."/>
    <s v="Dr. Mario Soto"/>
    <m/>
    <s v="FONDO MUNDIAL-UQD"/>
    <s v="C/U"/>
    <n v="0"/>
    <m/>
    <n v="0"/>
    <n v="27150"/>
    <n v="19.100000000000001"/>
    <n v="518565.00000000006"/>
    <n v="0"/>
    <n v="0"/>
    <n v="0"/>
    <n v="0"/>
    <n v="0"/>
    <n v="0"/>
    <n v="0"/>
    <n v="0"/>
    <n v="0"/>
    <n v="518565.00000000006"/>
    <s v="OPS"/>
    <s v="Medicamento para brindar TPT en PPL para cumplimiento del Plan contingencial,  en las personas que son elegibles,  hasta cubrir el 100% de las necesidades.Se plantea realizar la compra en el primesr semestre del año 2026."/>
  </r>
  <r>
    <s v="Poblaciones clave y vulnerables – TB/TB-DR"/>
    <s v="Poblaciones clave y vulnerables – Personas en prisiones, cárceles o centros de detención"/>
    <m/>
    <s v="1.Abordaje oportuno de la TB en grupos de mayor riesgo y vulnerabilidad con enfoque centrado en la persona. "/>
    <s v="Meta 1.5: Disminuir al menos el 50% de la incidencia de casos de TB todas las formas en población privada de libertad. "/>
    <m/>
    <m/>
    <m/>
    <s v="Compra de productos de salud,  productos farmaceuticos."/>
    <s v="para población de Riesgo PPL."/>
    <s v="Compra de  medicamentos antifimicos: medicamentos para TPT. para población de Riesgo PPL."/>
    <s v="Dr. Mario Soto"/>
    <m/>
    <s v="BRECHA FINANCIERA"/>
    <s v="C/U"/>
    <n v="0"/>
    <m/>
    <n v="0"/>
    <n v="21600"/>
    <n v="19.100000000000001"/>
    <n v="412560.00000000006"/>
    <n v="0"/>
    <n v="0"/>
    <n v="0"/>
    <n v="0"/>
    <n v="0"/>
    <n v="0"/>
    <n v="0"/>
    <n v="0"/>
    <n v="0"/>
    <n v="412560.00000000006"/>
    <s v="OPS"/>
    <s v="Medicamento para brindar TPT en PPL para cumplimiento del Plan contingencial,  en las personas que son elegibles,  hasta cubrir el 100% de las necesidades.Se plantea realizar la compra en el primesr semestre del año 2026."/>
  </r>
  <r>
    <s v="TB/VIH"/>
    <s v="TB/VIH - Intervenciones de colaboración"/>
    <m/>
    <s v="1.Abordaje oportuno de la TB en grupos de mayor riesgo y vulnerabilidad con enfoque centrado en la persona. "/>
    <s v="Meta 2.1: Cobertura de tratamiento para Tuberculosis activa ≥90%. "/>
    <m/>
    <m/>
    <m/>
    <s v="Compra institucional de productos de salud,  productos farmaceuticos y pruebas diagnosticas"/>
    <s v="Personas con VIH"/>
    <s v="Compra de  medicamentos antifimicos: primera linea para poblaciones de más alto riesgo persona con VIH "/>
    <s v="Dr. Mario Soto"/>
    <s v="MINSAL "/>
    <s v="MINSAL"/>
    <s v="C/U"/>
    <n v="340"/>
    <n v="35.9"/>
    <n v="12206"/>
    <n v="340"/>
    <n v="35.9"/>
    <n v="12206"/>
    <n v="340"/>
    <n v="39.6"/>
    <n v="13464"/>
    <n v="340"/>
    <n v="39.6"/>
    <n v="13464"/>
    <n v="340"/>
    <n v="39.6"/>
    <n v="13464"/>
    <n v="64804"/>
    <s v="OPS"/>
    <s v="Corresponde a la compra institucional del MINSAL, de medicamentos antifímicos de primera linea (casos TB sensibles) para personas con coinfección TB/VIH basado en las proyección casos en esta población."/>
  </r>
  <r>
    <s v="Diagnóstico, tratamiento y atención de la TB"/>
    <s v="Tratamiento, atención y apoyo para la TB"/>
    <m/>
    <s v="2. Diagnóstico y tratamiento de pacientes con tuberculosis sensible y tuberculosis drogorresistente "/>
    <s v="Meta 2.1: Cobertura de tratamiento para Tuberculosis activa ≥90%. "/>
    <s v="2.5-Proporcionar tratamiento oportuno a todas las personas con TB sensible y drogorresistente para alcanzar la curación."/>
    <m/>
    <m/>
    <s v="Compra institucional de productos de salud,  productos farmaceuticos y pruebas diagnosticas"/>
    <s v="para población General y otras poblaciones de riesgo"/>
    <s v="Compra de  medicamentos antifimicos: primera linea para población General y otras poblaciones de riesgo"/>
    <s v="Dr. Mario Soto"/>
    <s v="MINSAL "/>
    <s v="MINSAL"/>
    <s v="C/U"/>
    <n v="1252"/>
    <n v="35.9"/>
    <n v="44946.799999999996"/>
    <n v="1256"/>
    <n v="35.9"/>
    <n v="45090.400000000001"/>
    <n v="1261"/>
    <n v="39.6"/>
    <n v="49935.6"/>
    <n v="1266"/>
    <n v="39.6"/>
    <n v="50133.599999999999"/>
    <n v="1272"/>
    <n v="39.6"/>
    <n v="50371.200000000004"/>
    <n v="240477.6"/>
    <s v="OPS"/>
    <s v="Corresponde a la compra institucional del MINSAL, de medicamentos antifímicos de primera linea (casos TB sensibles) para personas población general y otras poblaciones de riesgo."/>
  </r>
  <r>
    <s v="TB/VIH"/>
    <s v="TB/VIH - Intervenciones de colaboración"/>
    <m/>
    <s v="1.Abordaje oportuno de la TB en grupos de mayor riesgo y vulnerabilidad con enfoque centrado en la persona. "/>
    <s v="Meta 1.6: Cobertura de TPT de personas que viven con el VIH actualmente inscritas en el tratamiento antirretroviral que iniciaron el tratamiento preventivo de la tuberculosis durante el período de reporte de al menos 10%."/>
    <m/>
    <m/>
    <m/>
    <s v="Compra institucional de productos de salud,  productos farmaceuticos y pruebas diagnosticas"/>
    <s v="para poblaciones de más alto riesgo persona con VIH "/>
    <s v="Compra de  medicamentos antifimicos: medicamentos para TPT. para poblaciones de más alto riesgo persona con VIH "/>
    <s v="Dr. Mario Soto"/>
    <s v="MINSAL "/>
    <s v="MINSAL"/>
    <s v="C/U"/>
    <n v="2000"/>
    <n v="19.100000000000001"/>
    <n v="38200"/>
    <n v="2000"/>
    <n v="19.100000000000001"/>
    <n v="38200"/>
    <n v="2000"/>
    <n v="19.100000000000001"/>
    <n v="38200"/>
    <n v="2000"/>
    <n v="19.100000000000001"/>
    <n v="38200"/>
    <n v="2000"/>
    <n v="19.100000000000001"/>
    <n v="38200"/>
    <n v="191000"/>
    <s v="OPS"/>
    <s v="Medicamento para brindar TPT en población con VIH, posterior al descarte de la TB. Se estima que un total de 2,000 personas VIH nueva y conocidas se les brindará TPT en cada año."/>
  </r>
  <r>
    <s v="Poblaciones clave y vulnerables – TB/TB-DR"/>
    <s v="Poblaciones clave y vulnerables - Otros"/>
    <m/>
    <s v="1.Abordaje oportuno de la TB en grupos de mayor riesgo y vulnerabilidad con enfoque centrado en la persona. "/>
    <s v="Meta 2.1: Cobertura de tratamiento para Tuberculosis activa ≥90%. "/>
    <m/>
    <m/>
    <m/>
    <s v="Compra institucional de productos de salud,  productos farmaceuticos y pruebas diagnosticas"/>
    <s v="para otras poblaciones de riesgo y contactos"/>
    <s v="Compra de  medicamentos antifimicos: medicamentos para TPT. para otras poblaciones de riesgo y contactos"/>
    <s v="Dr. Mario Soto"/>
    <s v="MINSAL "/>
    <s v="MINSAL"/>
    <s v="C/U"/>
    <n v="1000"/>
    <n v="19.100000000000001"/>
    <n v="19100"/>
    <n v="1000"/>
    <n v="19.100000000000001"/>
    <n v="19100"/>
    <n v="1000"/>
    <n v="19.100000000000001"/>
    <n v="19100"/>
    <n v="1000"/>
    <n v="19.100000000000001"/>
    <n v="19100"/>
    <n v="1000"/>
    <n v="19.100000000000001"/>
    <n v="19100"/>
    <n v="95500"/>
    <s v="OPS"/>
    <s v="Medicamento para brindar TPT en otras poblaciones con riesgo y vulnerabilidad y  personas con TB."/>
  </r>
  <r>
    <s v="Colaboración con otros proveedores y sectores"/>
    <s v="Colaboración con otros programas o sectores"/>
    <n v="2"/>
    <s v="Administración y gerencia "/>
    <s v="Meta 5.1: Aumentar en al menos el 5% el gasto doméstico para dar respuesta a la lucha contra la tuberculosis. (antes Meta 12)"/>
    <s v="5.2-Incrementar la financiación doméstica para la respuesta a la tuberculosis (financiación)."/>
    <s v="Porcentaje de gastos en prevención y control de la tuberculosis por el MINSAL, en relación al gasto público total"/>
    <s v="TB I-2 Tasa de incidencia de la tuberculosis por 100.000 habitantes."/>
    <s v="Actualización y capacitación para la formación de Recursos Humanos en salud y administrativos. "/>
    <s v="Poblacion General y poblaciones de alto riesgo"/>
    <s v="Planificación  y administración y Monitoreo y evaluación  para la mejora en el trabajo en prevención y control de TB."/>
    <s v="Lic. Gilma de Romero"/>
    <s v="MINSAL "/>
    <s v="MINSAL"/>
    <s v="C/U"/>
    <n v="1"/>
    <n v="998209.74"/>
    <n v="998209.74"/>
    <n v="1"/>
    <n v="1018173.9348"/>
    <n v="1018173.9348"/>
    <n v="1"/>
    <n v="1038537.4134960001"/>
    <n v="1038537.4134960001"/>
    <n v="1"/>
    <n v="1059308.1617659202"/>
    <n v="1059308.1617659202"/>
    <n v="1"/>
    <n v="1080494.3250012386"/>
    <n v="1080494.3250012386"/>
    <n v="5194723.5750631597"/>
    <s v="MINSAL"/>
    <s v="Corresponde a inversión institucional en Monitoreo y evaluación ($150,836.00) y Planificación y administación ($827,801.00), estimado en la informacion según MEGA TB 2022, paginas 29 y 30 ,Tabla 3. Gasto público en tuberculosis según categorías de gasto y fuentes de financiamiento 2022. La sumatoria de los dos rubros mas un 2% de aumento por inflación, y con el mismo aumento  por cada año empezando en 2025."/>
  </r>
  <r>
    <s v="Diagnóstico, tratamiento y atención de la TB"/>
    <s v="Tratamiento, atención y apoyo para la TB"/>
    <n v="4"/>
    <s v="2. Diagnóstico y tratamiento de pacientes con tuberculosis sensible y tuberculosis drogorresistente "/>
    <s v="Meta 2: Porcentaje de éxito del tratamiento para casos de TB &gt;92%."/>
    <s v="2.5-Proporcionar tratamiento oportuno a todas las personas con TB sensible y drogorresistente para alcanzar la curación."/>
    <s v="Meta 2: Porcentaje de éxito del tratamiento para TB &gt;92%."/>
    <s v="TB O-2a: Tasa de éxito del tratamiento en todas las formas de tuberculosis- confirmados bacteriológicamente y con diagnóstico clínico, casos nuevos y recaídas"/>
    <s v="Brindar tratamiento a pacientes del ISSS"/>
    <s v="Poblacion General y poblaciones de alto riesgo"/>
    <s v="Compra de productos Farmacéuticos _x000a_Tratamiento para los pacientes diagnosticados en los distintos centros de atencion del ISSS."/>
    <s v="_x000a__x000a_ISSS"/>
    <s v="ISSS,2"/>
    <s v="ISSS "/>
    <s v="Monto total"/>
    <n v="1"/>
    <n v="63781.97"/>
    <n v="63781.97"/>
    <n v="1"/>
    <n v="65753.929999999993"/>
    <n v="65753.929999999993"/>
    <n v="1"/>
    <n v="67725.899999999994"/>
    <n v="67725.899999999994"/>
    <n v="1"/>
    <n v="69697.87"/>
    <n v="69697.87"/>
    <n v="1"/>
    <n v="71669.84"/>
    <n v="71669.84"/>
    <n v="338629.51"/>
    <s v="ISSS"/>
    <s v="Corresponde al costo de compra de medicamento antifimico de primera y segunda linea para el tratamiento de TB, derechohabientes del ISSS."/>
  </r>
  <r>
    <s v="Diagnóstico, tratamiento y atención de la TB"/>
    <s v="Tamizaje y diagnóstico de la tuberculosis"/>
    <n v="5"/>
    <s v="2. Diagnóstico y tratamiento de pacientes con tuberculosis sensible y tuberculosis drogorresistente "/>
    <s v="Meta 1: Detectar al menos el 90% de la incidencia de TB estimados por la OMS."/>
    <s v="2.1-- Continuar el proceso de control avanzado para la eliminación de la tuberculosis como problema de salud pública, con la implementación de intervenciones eficaces. "/>
    <s v="Meta 2.1: Porcentaje de pacientes con TB que fueron diagnosticados a través de pruebas bacteriológicas 75%. "/>
    <s v="TBDT-1  Número de pacientes notificados con todas las formas de tuberculosis (esto es, confirmada bacteriológicamente + diagnosticada clínicamente), *incluye únicamente pacientes nuevos y recaídas. ."/>
    <s v="Diagnóstico de laboratorio"/>
    <s v="Poblacion General y poblaciones de alto riesgo"/>
    <s v="Adquisición de equipos, suministros e insumos necesarios para el diagnóstico de la tuberculosis, TB/VIH y TB-MDR."/>
    <s v="_x000a__x000a_ISSS"/>
    <s v="ISSS,3"/>
    <s v="ISSS "/>
    <s v="Monto total"/>
    <n v="1"/>
    <n v="431866.4"/>
    <n v="431866.4"/>
    <n v="1"/>
    <n v="475270.88"/>
    <n v="475270.88"/>
    <n v="1"/>
    <n v="518675.36"/>
    <n v="518675.36"/>
    <n v="1"/>
    <n v="562079.84"/>
    <n v="562079.84"/>
    <n v="1"/>
    <n v="605484.31999999995"/>
    <n v="605484.31999999995"/>
    <n v="2593376.7999999998"/>
    <s v="ISSS"/>
    <s v="El costo total de diagnostico laboratorial, la proyección esta basada en informacion  gererada por el departamento de costo del ISSS."/>
  </r>
  <r>
    <s v="Diagnóstico, tratamiento y atención de la TB"/>
    <s v="Tratamiento, atención y apoyo para la TB"/>
    <n v="4"/>
    <s v="2. Diagnóstico y tratamiento de pacientes con tuberculosis sensible y tuberculosis drogorresistente "/>
    <s v="Meta 2: Porcentaje de éxito del tratamiento para casos de TB &gt;92%."/>
    <s v="2.5-Proporcionar tratamiento oportuno a todas las personas con TB sensible y drogorresistente para alcanzar la curación."/>
    <s v="Meta 2: Porcentaje de éxito del tratamiento para TB &gt;92%."/>
    <s v="TB O-2a: Tasa de éxito del tratamiento en todas las formas de tuberculosis- confirmados bacteriológicamente y con diagnóstico clínico, casos nuevos y recaídas"/>
    <s v="Manejo integral de las personas con Tuberculosis, brindando prestaciones "/>
    <s v="Poblacion General y poblaciones de alto riesgo"/>
    <s v="Otros Gastos (Otras prestaciones, micronutrientes, transporte, entre otros)"/>
    <s v="_x000a__x000a_ISSS"/>
    <s v="ISSS,4"/>
    <s v="ISSS "/>
    <s v="cada una"/>
    <n v="1"/>
    <n v="422756.75"/>
    <n v="422756.75"/>
    <n v="1"/>
    <n v="1391"/>
    <n v="1391"/>
    <n v="1"/>
    <n v="1058608.8500000001"/>
    <n v="1058608.8500000001"/>
    <n v="1"/>
    <n v="1270280.76"/>
    <n v="1270280.76"/>
    <n v="1"/>
    <n v="1481952.68"/>
    <n v="1481952.68"/>
    <n v="4234990.04"/>
    <s v="ISSS"/>
    <s v="Este costo corresponde a otras prestaciones para los derecho habientes, incluidos micronutrientes, transporte, pago de subsidios e incapacidades medicas derivadas del diagnostico y tratamiento de la TB. ."/>
  </r>
  <r>
    <s v="Diagnóstico, tratamiento y atención de la TB"/>
    <s v="Tratamiento, atención y apoyo para la TB"/>
    <n v="1"/>
    <s v="2. Diagnóstico y tratamiento de pacientes con tuberculosis sensible y tuberculosis drogorresistente "/>
    <s v="Meta 1: Detectar al menos el 90% de la incidencia de TB estimados por la OMS."/>
    <s v="2.1-- Continuar el proceso de control avanzado para la eliminación de la tuberculosis como problema de salud pública, con la implementación de intervenciones eficaces. "/>
    <s v="Tasa de incidencia de tuberculosis por cada 100,000 habitantes (&amp;)"/>
    <s v="TB I-2 : Tasa de incidencia de TB por 100 000 habitantes."/>
    <s v="Equipamiento y provisión de insumos para la prevención y control de la TB."/>
    <s v="Poblacion General y poblaciones de alto riesgo"/>
    <s v="Aquisición de productos y equipo de Salud, Instituto Salvadoreño del Seguro Social."/>
    <s v="_x000a__x000a_ISSS"/>
    <s v="ISSS,6"/>
    <s v="ISSS "/>
    <s v="Monto total"/>
    <n v="1"/>
    <n v="32237.03"/>
    <n v="32237.03"/>
    <n v="1"/>
    <n v="30205.54"/>
    <n v="30205.54"/>
    <n v="1"/>
    <n v="28174.06"/>
    <n v="28174.06"/>
    <n v="1"/>
    <n v="26142.58"/>
    <n v="26142.58"/>
    <n v="1"/>
    <n v="24111.09"/>
    <n v="24111.09"/>
    <n v="140870.30000000002"/>
    <s v="ISSS"/>
    <s v="Corresponde a los productos no farmaceuticos  y equipos de salud, utilizados en diagnóstico y tratamiento de las personas con TB."/>
  </r>
  <r>
    <s v="Diagnóstico, tratamiento y atención de la TB"/>
    <s v="Tratamiento, atención y apoyo para la TB"/>
    <n v="1"/>
    <s v="2. Diagnóstico y tratamiento de pacientes con tuberculosis sensible y tuberculosis drogorresistente "/>
    <s v="Meta 2: Porcentaje de éxito del tratamiento para TB &gt;92%."/>
    <s v="TB O-2a: Tasa de éxito del tratamiento en todas las formas de tuberculosis- confirmados bacteriológicamente y con diagnóstico clínico, casos nuevos y recaídas"/>
    <s v="Tasa de incidencia de la tuberculosis (por cada 100.000 habitantes)"/>
    <s v="TB I-2 : Tasa de incidencia de TB por 100 000 habitantes."/>
    <s v="Recursos humanos ISSS para atención del Programa de Tuberculosis ISSS Hospitales, Unidades Médicas, Clínicas comunales y Nivel Central ISSS."/>
    <s v="Poblacion General y poblaciones de alto riesgo"/>
    <s v="Pago de salario y prestaciones de ley para recursos humanos ISSS para atención del Programa de Tuberculosis ISSS Hospitales, Unidades Médicas, Clínicas comunales y Nivel Central ISSS."/>
    <s v="_x000a__x000a_ISSS"/>
    <s v="ISSS,6"/>
    <s v="ISSS "/>
    <s v="por personas"/>
    <n v="1"/>
    <n v="2255273.5099999998"/>
    <n v="2255273.5099999998"/>
    <n v="1"/>
    <n v="2498937.19"/>
    <n v="2498937.19"/>
    <n v="1"/>
    <n v="2742600.87"/>
    <n v="2742600.87"/>
    <n v="1"/>
    <n v="2986264.55"/>
    <n v="2986264.55"/>
    <n v="1"/>
    <n v="3229928.24"/>
    <n v="3229928.24"/>
    <n v="13713004.359999999"/>
    <s v="ISSS"/>
    <s v="Salario y prestaciones de los personal de salud operativo de hospitales, unidades medicas, clínicas comunales y Nivel Central del ISSS  que laboran para el programa de TB."/>
  </r>
  <r>
    <s v="Poblaciones clave y vulnerables – TB/TB-DR"/>
    <s v="Poblaciones clave y vulnerables – Personas en prisiones, cárceles o centros de detención"/>
    <n v="1"/>
    <s v="1.Abordaje oportuno de la TB en grupos de mayor riesgo y vulnerabilidad con enfoque centrado en la persona. "/>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Recursos Humanos Dirección General de Centros Penales  (RRHH)"/>
    <s v="población Privados de Libertad (PPL)."/>
    <s v="Pago de salario  de Recursos Humanos Dirección General de Centros Penales  (RRHH)"/>
    <s v="DGCP"/>
    <m/>
    <s v="DGCP"/>
    <m/>
    <n v="1"/>
    <n v="520366.4"/>
    <n v="520366.4"/>
    <n v="1"/>
    <n v="546384.72000000009"/>
    <n v="546384.72000000009"/>
    <n v="1"/>
    <n v="546385.77000000014"/>
    <n v="546385.77000000014"/>
    <n v="1"/>
    <n v="573705.05850000016"/>
    <n v="573705.05850000016"/>
    <n v="1"/>
    <n v="602390.3114250002"/>
    <n v="602390.3114250002"/>
    <n v="2789232.2599250004"/>
    <s v="DGCP"/>
    <s v="Salario de personal medico, enfermeras, auxiliares, custodios, motoristas, polivalentes, que realizan actividades de diagnostico, tratamiento y atenciones de casos  y/o actividades de apoyo para la prevención y control de la TB."/>
  </r>
  <r>
    <s v="Poblaciones clave y vulnerables – TB/TB-DR"/>
    <s v="Poblaciones clave y vulnerables – Personas en prisiones, cárceles o centros de detención"/>
    <n v="1"/>
    <s v="1.Abordaje oportuno de la TB en grupos de mayor riesgo y vulnerabilidad con enfoque centrado en la persona. "/>
    <s v="Meta 1.6: Disminuir al menos el 50% de la incidencia de casos de TB todas las formas en población privada de libertad. "/>
    <s v="1.1- Detectar oportunamente las personas con tuberculosis presuntivas, priorizando las poblaciones de mayor riesgo y vulnerabilidad."/>
    <s v="Porcentaje de casos todas las formas de TB entre PPL tratados exitosamente entre el total de casos todas las formas notificadas"/>
    <s v="TB O-2a Tasa de éxito del tratamiento en todas las formas de tuberculosis, confirmada bacteriológicamente y diagnosticada clínicamente, pacientes nuevos y recaídas. "/>
    <s v="Apoyo a pacientes: Dietas, suplementos nutricionales. Para personas con TB y TB/VIH"/>
    <s v=" Para personas con TB y TB/VIH"/>
    <s v="Brindar soporte nutricional especializado:  Dietas, suplementos nutricionales. Para personas con TB y TB/VIH"/>
    <s v="DGCP"/>
    <m/>
    <s v="DGCP"/>
    <m/>
    <n v="1"/>
    <n v="1214322.2000000002"/>
    <n v="1214322.2000000002"/>
    <n v="1"/>
    <n v="1275038.3100000003"/>
    <n v="1275038.3100000003"/>
    <n v="1"/>
    <n v="1338790.2255000004"/>
    <n v="1338790.2255000004"/>
    <n v="1"/>
    <n v="1405729.7367750006"/>
    <n v="1405729.7367750006"/>
    <n v="1"/>
    <n v="1476016.2236137507"/>
    <n v="1476016.2236137507"/>
    <n v="6709896.6958887521"/>
    <s v="DGCP"/>
    <s v="Apoyo a pacientes, incluye las dietas especiales, suplementos nutricionales. Para personas con TB y TB/VIH."/>
  </r>
  <r>
    <s v="Poblaciones clave y vulnerables – TB/TB-DR"/>
    <s v="Poblaciones clave y vulnerables – Personas en prisiones, cárceles o centros de detención"/>
    <n v="1"/>
    <s v="1.Abordaje oportuno de la TB en grupos de mayor riesgo y vulnerabilidad con enfoque centrado en la persona. "/>
    <s v="Meta 1.5: Disminuir al menos el 50% de la incidencia de casos de TB todas las formas en población privada de libertad. "/>
    <s v="1.1- Detectar oportunamente las personas con tuberculosis presuntivas, priorizando las poblaciones de mayor riesgo y vulnerabilidad."/>
    <s v="Porcentaje de casos todas las formas de TB entre PPL tratados exitosamente entre el total de casos todas las formas notificadas"/>
    <s v="TB O-2a Tasa de éxito del tratamiento en todas las formas de tuberculosis, confirmada bacteriológicamente y diagnosticada clínicamente, pacientes nuevos y recaídas. "/>
    <s v="Brindar tratamiento a personas con Tuberculosis "/>
    <s v="población Privados de Libertad (PPL)."/>
    <s v="Adquisición de medicamentos : Productos farmaceuticos, para atención de PPL."/>
    <s v="DGCP"/>
    <m/>
    <s v="DGCP"/>
    <m/>
    <n v="1"/>
    <n v="8421.64"/>
    <n v="8421.64"/>
    <n v="1"/>
    <n v="8842.7219999999998"/>
    <n v="8842.7219999999998"/>
    <n v="1"/>
    <n v="9284.8580999999995"/>
    <n v="9284.8580999999995"/>
    <n v="1"/>
    <n v="9749.1010050000004"/>
    <n v="9749.1010050000004"/>
    <n v="1"/>
    <n v="10236.556055250001"/>
    <n v="10236.556055250001"/>
    <n v="46534.877160249998"/>
    <s v="DGCP"/>
    <s v="Tratamiento para personas con TB presuntivas y tratamiento con Cotrimoxazol para personas con VIH y Coinfección TB."/>
  </r>
  <r>
    <s v="Poblaciones clave y vulnerables – TB/TB-DR"/>
    <s v="Poblaciones clave y vulnerables – Personas en prisiones, cárceles o centros de detención"/>
    <n v="9"/>
    <s v="1.Abordaje oportuno de la TB en grupos de mayor riesgo y vulnerabilidad con enfoque centrado en la persona. "/>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Actualización de conocimiento al recurso humano en salud  y monitoreo y evaluación."/>
    <s v="población Privados de Libertad (PPL)."/>
    <s v="Fortalecimiento al recurso humano en salud (Capacitaciones, supervisión y monitoreo) para la actualización de lineamientos de atención."/>
    <s v="DGCP"/>
    <m/>
    <s v="DGCP"/>
    <m/>
    <n v="1"/>
    <n v="73907.600000000006"/>
    <n v="73907.600000000006"/>
    <n v="1"/>
    <n v="77602.98000000001"/>
    <n v="77602.98000000001"/>
    <n v="1"/>
    <n v="81483.129000000015"/>
    <n v="81483.129000000015"/>
    <n v="1"/>
    <n v="85557.285450000025"/>
    <n v="85557.285450000025"/>
    <n v="1"/>
    <n v="89835.149722500035"/>
    <n v="89835.149722500035"/>
    <n v="408386.14417250012"/>
    <s v="DGCP"/>
    <s v="Se brindaran capacitaciones y actualización de conocimiento al  recurso humano en salud (Capacitaciones, supervisión y monitoreo) a traves de sesiones educativas, monitoreo facilitadores para la actualización de lineamientos de atención."/>
  </r>
  <r>
    <s v="Poblaciones clave y vulnerables – TB/TB-DR"/>
    <s v="Poblaciones clave y vulnerables – Personas en prisiones, cárceles o centros de detención"/>
    <n v="4"/>
    <s v="1.Abordaje oportuno de la TB en grupos de mayor riesgo y vulnerabilidad con enfoque centrado en la persona. "/>
    <s v="Porcentaje de éxito del tratamiento para TB &gt;92%."/>
    <s v="2.7. Tratamiento centrado en las necesidades de los usuarios, con atención integral a las comorbilidades, _x000a_como enfermedades no transmisibles, salud mental y apoyo psicosocial..  "/>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roporcionar soporte nutricional a los  pacientes afectados por TB  con el objetivo de la mejora de su estado nutricional."/>
    <s v="población Privados de Libertad (PPL)."/>
    <s v="Compra de suplemento nutricional para la administracion de cuatro latas o su equivalente durante la primera fase de tratamiento a los pacientes afectados por TB población Privados de Libertad (PPL)."/>
    <s v="Lic. Yanira Chita"/>
    <s v="FM L-1"/>
    <s v="FONDO MUNDIAL-UQD"/>
    <s v="C/U"/>
    <n v="6756"/>
    <n v="14"/>
    <n v="94584"/>
    <n v="5340"/>
    <n v="14"/>
    <n v="74760"/>
    <n v="5160"/>
    <n v="14"/>
    <n v="72240"/>
    <n v="0"/>
    <n v="0"/>
    <n v="0"/>
    <n v="0"/>
    <n v="0"/>
    <n v="0"/>
    <n v="241584"/>
    <s v="PNUD"/>
    <s v="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Se ha contemplado realizar la  compra de dos tipos de formulas polimericas, los cuales poseen diferentes precios calculando un promedio de $14.33 por lata, se administraran 4 latas de suplemento nutricional por paciente durante la primera fase de tratamiento o de acuerdo a la necesidad nutricional de la persona afectada._x000a_"/>
  </r>
  <r>
    <s v="Diagnóstico, tratamiento y atención de la TB"/>
    <s v="Tratamiento, atención y apoyo para la TB"/>
    <n v="4"/>
    <s v="1.Abordaje oportuno de la TB en grupos de mayor riesgo y vulnerabilidad con enfoque centrado en la persona. "/>
    <s v="Porcentaje de éxito del tratamiento para TB &gt;92%."/>
    <s v="2.7. Tratamiento centrado en las necesidades de los usuarios, con atención integral a las comorbilidades, _x000a_como enfermedades no transmisibles, salud mental y apoyo psicosocial..  "/>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roporcionar soporte nutricional a los  pacientes afectados por TB  con el objetivo de la mejora de su estado nutricional."/>
    <s v="población Privados de Libertad (PPL)."/>
    <s v="Compra de suplemento nutricional para la administracion de cuatro latas o su equivalente durante la primera fase de tratamiento a los pacientes afectados por TB población Privados de Libertad (PPL)."/>
    <s v="Lic. Yanira Chita"/>
    <s v="FM L-1"/>
    <s v="BRECHA FINANCIERA"/>
    <s v="C/U"/>
    <n v="0"/>
    <n v="0"/>
    <n v="0"/>
    <m/>
    <n v="0"/>
    <n v="0"/>
    <m/>
    <n v="0"/>
    <n v="0"/>
    <n v="6856"/>
    <n v="14"/>
    <n v="95984"/>
    <n v="4940"/>
    <n v="14"/>
    <n v="69160"/>
    <n v="165144"/>
    <s v="PNUD"/>
    <s v="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y niños. Se ha contemplado realizar la  compra de tres tipos de formulas polimericas, los cuales poseen diferentes precios calculando un promedio de $14 por lata, se administraran 4 latas de suplemento nutricional por paciente durante la primera fase de tratamiento o de acuerdo a la necesidad nutricional de la persona afectada._x000a_"/>
  </r>
  <r>
    <s v="Diagnóstico, tratamiento y atención de la TB"/>
    <s v="Tratamiento, atención y apoyo para la TB"/>
    <n v="4"/>
    <s v="1.Abordaje oportuno de la TB en grupos de mayor riesgo y vulnerabilidad con enfoque centrado en la persona. "/>
    <s v="Porcentaje de éxito del tratamiento para TB &gt;92%."/>
    <s v="2.7. Tratamiento centrado en las necesidades de los usuarios, con atención integral a las comorbilidades, _x000a_como enfermedades no transmisibles, salud mental y apoyo psicosocial."/>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roporcionar soporte nutricional a los  pacientes afectados por TB  con el objetivo de la mejora de su estado nutricional."/>
    <s v="Pacientes afectados por TB, TB DR y a otros grupos vulnerables como son los niños y personas con TB diabetes. "/>
    <s v="Compra de suplemento nutricional para la administracion de cuatro latas o su equivalente durante la primera fase de tratamiento a los pacientes afectados por TB, TB DR y a otros grupos vulnerables como son los niños y personas con TB diabetes. "/>
    <s v="Lic. Yanira Chita"/>
    <m/>
    <s v="MINSAL"/>
    <s v="C/U"/>
    <n v="7722"/>
    <n v="14"/>
    <n v="108108"/>
    <n v="7722"/>
    <n v="14"/>
    <n v="108108"/>
    <n v="7722"/>
    <n v="14"/>
    <n v="108108"/>
    <n v="7722"/>
    <n v="14"/>
    <n v="108108"/>
    <n v="7725"/>
    <n v="14"/>
    <n v="108150"/>
    <n v="540582"/>
    <s v="PNUD"/>
    <s v="El suplemento nutricional es requerido para los pacientes con estado nutricional deficiente, pronta recuperación, negativización del bacilo y lograr así su curación; puesto que siendo una enfermedad crónica y debilitante, su capacidad de respuesta se mejora con el uso de estos nutrientes. Es para las perosonas afectadas  por TB, TB DR y personas con desnutrición severa. Tomando en cuenta que las condiciones propias de seguridad en las carceles podrian predisponer a que los PPL caigan malnutrición; ademas las condiciones fisiopatologicas que genera la tuberculosis afecta mayormente a los diabeticos y niños. Se ha contemplado realizar la  compra de tres tipos de formulas polimericas, los cuales poseen diferentes precios calculando un promedio de $14.00 por lata, se administraran 4 latas de suplemento nutricional por paciente durante la primera fase de tratamiento o de acuerdo a la necesidad nutricional de la persona afectada."/>
  </r>
  <r>
    <s v="Poblaciones clave y vulnerables – TB/TB-DR"/>
    <s v="Poblaciones clave y vulnerables – Personas en prisiones, cárceles o centros de detención"/>
    <n v="5"/>
    <s v="1.Abordaje oportuno de la TB en grupos de mayor riesgo y vulnerabilidad con enfoque centrado en la persona. "/>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Provisión de insumos para diagnostico laboratorial y mantenimiento de medios diagnósticos"/>
    <s v="población Privados de Libertad (PPL)."/>
    <s v="Adquisición de  insumos para diagnostico laboratorial y mantenimiento de medios diagnósticos"/>
    <s v="DGCP"/>
    <m/>
    <s v="DGCP"/>
    <m/>
    <n v="1"/>
    <n v="10000"/>
    <n v="10000"/>
    <n v="1"/>
    <n v="10500"/>
    <n v="10500"/>
    <n v="1"/>
    <n v="11025"/>
    <n v="11025"/>
    <n v="1"/>
    <n v="11576.25"/>
    <n v="11576.25"/>
    <n v="1"/>
    <n v="12155.0625"/>
    <n v="12155.0625"/>
    <n v="55256.3125"/>
    <s v="DGCP"/>
    <s v="Se adquiriran insumos varios de laboratorio que apoyen para el funcionamiento del diagnóstico bacteriológico de la TB en PPL:."/>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s v="Poblaciones clave y vulnerables – TB/TB-DR"/>
    <x v="0"/>
    <n v="9"/>
    <x v="0"/>
    <s v="Descarte de la TB activa y latente para la administración de tratamiento a la enfermedad activa e ILTB en 100% de PPL en aquellos que son elegibles."/>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KVP-1 Número de personas con tuberculosis (todas las formas) notificadas entre personas privadas de libertad; *solo incluye pacientes nuevos y recaídas."/>
    <s v="Poblaciones de alta vulnerabilidad en PPL"/>
    <s v="Contratación de  seguro y mantenimiento Preventivos y correctivos para vehiculos y camión movil de rayos X"/>
    <s v="Lic. Gilma de Romero"/>
    <s v="MINSAL "/>
    <x v="0"/>
    <s v="C/U"/>
    <n v="1"/>
    <n v="10000"/>
    <n v="10000"/>
    <n v="1"/>
    <n v="10000"/>
    <n v="10000"/>
    <n v="1"/>
    <n v="10000"/>
    <n v="10000"/>
    <n v="1"/>
    <n v="10000"/>
    <n v="10000"/>
    <n v="1"/>
    <n v="10000"/>
    <n v="10000"/>
    <n v="50000"/>
    <s v="MINSAL"/>
  </r>
  <r>
    <s v="Poblaciones clave y vulnerables – TB/TB-DR"/>
    <x v="0"/>
    <n v="9"/>
    <x v="0"/>
    <s v="Descarte de la TB activa y latente para la administración de tratamiento a la enfermedad activa e ILTB en 100% de PPL en aquellos que son elegibles."/>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TCP-6a Número de casos de tuberculosis (en todas sus formas) notificados entre reclusos"/>
    <s v="Poblaciones de alta vulnerabilidad en PPL"/>
    <s v="Contratación mantenimiento Preventivos y correctivos para equipo de rayos X de la unidad movil"/>
    <s v="Lic. William Cardoza"/>
    <s v="FM-L1"/>
    <x v="1"/>
    <s v="C/U"/>
    <n v="1"/>
    <n v="11000"/>
    <n v="11000"/>
    <n v="1"/>
    <n v="11000"/>
    <n v="11000"/>
    <n v="1"/>
    <n v="11000"/>
    <n v="11000"/>
    <m/>
    <n v="0"/>
    <n v="0"/>
    <m/>
    <n v="0"/>
    <n v="0"/>
    <n v="33000"/>
    <s v="PNUD"/>
  </r>
  <r>
    <s v="Poblaciones clave y vulnerables – TB/TB-DR"/>
    <x v="0"/>
    <n v="9"/>
    <x v="0"/>
    <s v="Descarte de la TB activa y latente para la administración de tratamiento a la enfermedad activa e ILTB en 100% de PPL en aquellos que son elegibles."/>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TCP-6a Número de casos de tuberculosis (en todas sus formas) notificados entre reclusos"/>
    <s v="Poblaciones de alta vulnerabilidad en PPL"/>
    <s v="Contratación mantenimiento Preventivos y correctivos para equipo de rayos X de la unidad movil"/>
    <s v="Lic. William Cardoza"/>
    <s v="FM-L1"/>
    <x v="2"/>
    <s v="C/U"/>
    <m/>
    <n v="0"/>
    <n v="0"/>
    <m/>
    <n v="0"/>
    <n v="0"/>
    <m/>
    <n v="0"/>
    <n v="0"/>
    <n v="1"/>
    <n v="11000"/>
    <n v="11000"/>
    <n v="1"/>
    <n v="11000"/>
    <n v="11000"/>
    <n v="22000"/>
    <s v="PNUD"/>
  </r>
  <r>
    <s v="Diagnóstico, tratamiento y atención de la TB"/>
    <x v="1"/>
    <n v="6"/>
    <x v="0"/>
    <s v="Diagnóstico de la TB Sensible y DR/ pruebas de sensibilidad a los fármacos."/>
    <s v="Meta 1: Detectar al menos el 90% de la incidencia de TB estimados por la OMS."/>
    <s v="1.1- Detectar oportunamente las personas con tuberculosis presuntivas, priorizando las poblaciones de mayor riesgo y vulnerabilidad."/>
    <s v="Tasa de incidencia de la tuberculosis (por cada 100.000 habitantes)"/>
    <s v="TB I-2 Tasa de incidencia de la tuberculosis por 100.000 habitantes."/>
    <s v="Población General"/>
    <s v="Compra de equipo de video endoscopía bronquial . "/>
    <s v="Dra. Maritza Melgar. "/>
    <s v="FM-L1"/>
    <x v="3"/>
    <s v="C/U"/>
    <n v="1"/>
    <n v="148300"/>
    <n v="148300"/>
    <m/>
    <m/>
    <n v="0"/>
    <m/>
    <n v="0"/>
    <n v="0"/>
    <n v="0"/>
    <n v="0"/>
    <n v="0"/>
    <m/>
    <n v="0"/>
    <n v="0"/>
    <n v="148300"/>
    <s v="OPS"/>
  </r>
  <r>
    <s v="Poblaciones clave y vulnerables – TB/TB-DR"/>
    <x v="0"/>
    <n v="2"/>
    <x v="1"/>
    <s v="Diagnóstico de la TB Sensible y DR/ pruebas de sensibilidad a los fármacos."/>
    <s v="Meta 2.3: Cobertura de pacientes con TB con resultados de sensibilidad a medicamentos de segunda línea del 100%. _x000a_Meta 2.4: Cobertura de tratamiento con nuevos medicamentos orales para drogorresistencia 90%."/>
    <s v="2.4. - Realizar vigilancia permanente de los casos de TB drogorresistente, a través de pruebas moleculares en el SNIS para tratamiento oportuno."/>
    <s v="Porcentaje de casos notificados de TB-RR y/o TB-MDR confirmados bacteriológicamente como proporción de todos los casos estimados de TB-RR y/o TB-MDR."/>
    <s v="DRTB-2 Número de personas con TB-RR y/o TB-MDR confirmada notificado."/>
    <s v="Población de riesgo Privados de Libertad. (PPL)"/>
    <s v="Reuniones mensuales de monitoreo y evaluación con el comité de TB MDR, conformado por  las institucines del Sistema Nacional Integrado de Salud.  "/>
    <s v="Dra. Maritza Melgar. "/>
    <s v="FM-L1"/>
    <x v="1"/>
    <s v="C/U"/>
    <n v="112"/>
    <n v="25"/>
    <n v="2800"/>
    <n v="112"/>
    <n v="25"/>
    <n v="2800"/>
    <n v="112"/>
    <n v="25"/>
    <n v="2800"/>
    <m/>
    <n v="0"/>
    <n v="0"/>
    <m/>
    <n v="0"/>
    <n v="0"/>
    <n v="8400"/>
    <s v="PNUD"/>
  </r>
  <r>
    <s v="Poblaciones clave y vulnerables – TB/TB-DR"/>
    <x v="0"/>
    <n v="2"/>
    <x v="1"/>
    <s v="Diagnóstico de la TB Sensible y DR/ pruebas de sensibilidad a los fármacos."/>
    <s v="Meta 2.3: Cobertura de pacientes con TB con resultados de sensibilidad a medicamentos de segunda línea del 100%. _x000a_Meta 2.4: Cobertura de tratamiento con nuevos medicamentos orales para drogorresistencia 90%."/>
    <s v="2.4. - Realizar vigilancia permanente de los casos de TB drogorresistente, a través de pruebas moleculares en el SNIS para tratamiento oportuno."/>
    <s v="Porcentaje de casos notificados de TB-RR y/o TB-MDR confirmados bacteriológicamente como proporción de todos los casos estimados de TB-RR y/o TB-MDR."/>
    <s v="DRTB-2 Número de personas con TB-RR y/o TB-MDR confirmada notificado."/>
    <s v="Población de riesgo Privados de Libertad. (PPL)"/>
    <s v="Reuniones mensuales de monitoreo y evaluación con el comité de TB MDR, conformado por  las institucines del Sistema Nacional Integrado de Salud.  "/>
    <s v="Dra. Maritza Melgar. "/>
    <s v="FM-L1"/>
    <x v="2"/>
    <s v="C/U"/>
    <m/>
    <n v="0"/>
    <n v="0"/>
    <m/>
    <n v="0"/>
    <n v="0"/>
    <m/>
    <n v="0"/>
    <n v="0"/>
    <n v="16"/>
    <n v="25"/>
    <n v="400"/>
    <n v="16"/>
    <n v="25"/>
    <n v="400"/>
    <n v="800"/>
    <s v="PNUD"/>
  </r>
  <r>
    <s v="Poblaciones clave y vulnerables – TB/TB-DR"/>
    <x v="0"/>
    <n v="5"/>
    <x v="0"/>
    <s v="Descarte de la TB activa y latente para la administración de tratamiento a la enfermedad activa e ILTB en 100% de PPL en aquellos que son elegibles."/>
    <s v="Meta 1.8  Disminuir Número de casos de TB (todas las formas) notificados entre los privados de libertad"/>
    <s v="1.2- Detectar tempranamente los casos de TB sensible y farmacorresistente priorizando a los grupos de mayor riesgo y vulnerabilidad, a través de biología molecular rápida y tecnología diagnostica aplicando IA (RX). "/>
    <s v="Número de casos de TB (todas las formas) notificados entre los privados de libertad"/>
    <s v="KVP-1 Número de personas con tuberculosis (todas las formas) notificadas entre personas privadas de libertad; *solo incluye pacientes nuevos y recaídas."/>
    <s v="Población de riesgo Privados de Libertad. (PPL)"/>
    <s v="Compra de  placas para radiografias de torax."/>
    <s v="Lic. William Cardoza"/>
    <s v="FM-L1"/>
    <x v="1"/>
    <s v="C/U"/>
    <n v="9000"/>
    <n v="2.5"/>
    <n v="22500"/>
    <n v="0"/>
    <n v="0"/>
    <n v="0"/>
    <n v="0"/>
    <n v="0"/>
    <n v="0"/>
    <n v="0"/>
    <n v="0"/>
    <n v="0"/>
    <n v="0"/>
    <n v="0"/>
    <n v="0"/>
    <n v="22500"/>
    <s v="PNUD"/>
  </r>
  <r>
    <s v="Poblaciones clave y vulnerables – TB/TB-DR"/>
    <x v="2"/>
    <n v="5"/>
    <x v="0"/>
    <s v="Descarte de diabetes mellitus en las personas diagnosticadas con TB de todas las formas"/>
    <s v="Meta 1.4: Tamizar con glucometría al menos al 85% del total de los casos notificados de TB. "/>
    <s v="1.1- Detectar oportunamente las personas con tuberculosis presuntivas, priorizando las poblaciones de mayor riesgo y vulnerabilidad."/>
    <s v="Porcentaje de casos de TB todas las formas tamizadas con glucometría."/>
    <s v="KVP-2 Número de personas con tuberculosis (todas las formas) notificadas entre las poblaciones clave/grupos de alto riesgo (distintos de personas privadas de libertad); *solo incluye pacientes nuevos y recaídas."/>
    <s v="Población comorbilidad Diabeticos"/>
    <s v="Compra de glucometros;  lancetas (caja de 100) ; tiras reactivas, para  establecimientos de salud y Centros Penales.    "/>
    <s v="Dr. Mario Soto"/>
    <s v="FM-L1"/>
    <x v="3"/>
    <s v="cada una"/>
    <n v="1"/>
    <n v="57000"/>
    <n v="57000"/>
    <n v="1"/>
    <n v="28500"/>
    <n v="28500"/>
    <n v="1"/>
    <n v="46251"/>
    <n v="46251"/>
    <m/>
    <n v="0"/>
    <n v="0"/>
    <m/>
    <n v="0"/>
    <n v="0"/>
    <n v="131751"/>
    <s v="PNUD"/>
  </r>
  <r>
    <s v="Poblaciones clave y vulnerables – TB/TB-DR"/>
    <x v="2"/>
    <n v="5"/>
    <x v="0"/>
    <s v="Descarte de diabetes mellitus en las personas diagnosticadas con TB de todas las formas"/>
    <s v="Meta 1.4: Tamizar con glucometría al menos al 85% del total de los casos notificados de TB. "/>
    <s v="1.1- Detectar oportunamente las personas con tuberculosis presuntivas, priorizando las poblaciones de mayor riesgo y vulnerabilidad."/>
    <s v="Porcentaje de casos de TB todas las formas tamizadas con glucometría."/>
    <s v="KVP-2 Número de personas con tuberculosis (todas las formas) notificadas entre las poblaciones clave/grupos de alto riesgo (distintos de personas privadas de libertad); *solo incluye pacientes nuevos y recaídas."/>
    <s v="Población comorbilidad Diabeticos"/>
    <s v="Compra de  500 glucometros a un costo de $ 48,50, 600 lancetas (caja de 100) a un costo de $ 36,09, y 700 tiras reactivas (caja por 50 unidades) a un costo de $ 30,00  para  establecimientos de salud y Centros Penales     "/>
    <s v="Dr. Mario Soto"/>
    <m/>
    <x v="2"/>
    <s v="cada una"/>
    <m/>
    <n v="0"/>
    <n v="0"/>
    <m/>
    <n v="0"/>
    <n v="0"/>
    <m/>
    <n v="0"/>
    <n v="0"/>
    <n v="700"/>
    <n v="66.09"/>
    <n v="46263"/>
    <n v="500"/>
    <n v="114"/>
    <n v="57000"/>
    <n v="103263"/>
    <s v="PNUD"/>
  </r>
  <r>
    <s v="Poblaciones clave y vulnerables – TB/TB-DR"/>
    <x v="3"/>
    <n v="5"/>
    <x v="2"/>
    <s v="Detección oportuna de TB a todas las personas migrantes que cumplen con el criterio de TB presuntiva y caso de TB, por las Oficinas Sanitarias Internacionales (OSI) en coordinación con la red de establecimientos del MINSAL."/>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Migrantes y poblaciones moviles"/>
    <s v="Compra de termos kenseller  necesarios para la captacion y conservación de muestras (cadena de frío) para OSI"/>
    <s v="Lic. Bessy Velis "/>
    <m/>
    <x v="1"/>
    <s v="C/U"/>
    <n v="6"/>
    <n v="120"/>
    <n v="720"/>
    <n v="0"/>
    <n v="0"/>
    <n v="0"/>
    <m/>
    <m/>
    <n v="0"/>
    <m/>
    <m/>
    <n v="0"/>
    <m/>
    <m/>
    <n v="0"/>
    <n v="720"/>
    <s v="PNUD"/>
  </r>
  <r>
    <s v="Poblaciones clave y vulnerables – TB/TB-DR"/>
    <x v="3"/>
    <n v="2"/>
    <x v="2"/>
    <s v="Detección oportuna de TB a todas las personas migrantes que cumplen con el criterio de TB presuntiva y caso de TB, por las Oficinas Sanitarias Internacionales (OSI) en coordinación con la red de establecimientos del MINSAL."/>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Migrantes y poblaciones moviles"/>
    <s v="Formación de personal Multidisciplinario del sistema de salud en monitoreo y evaluación de información epidemiológica clínica y programatica que brindan atención a migrantes.  "/>
    <s v="Lic. Bessy Velis "/>
    <s v="FM-L1"/>
    <x v="2"/>
    <s v="Atención de salud"/>
    <n v="100"/>
    <n v="25"/>
    <n v="2500"/>
    <n v="100"/>
    <n v="25"/>
    <n v="2500"/>
    <n v="100"/>
    <n v="25"/>
    <n v="2500"/>
    <m/>
    <n v="0"/>
    <n v="0"/>
    <m/>
    <n v="0"/>
    <n v="0"/>
    <n v="7500"/>
    <s v="PNUD"/>
  </r>
  <r>
    <s v="Poblaciones clave y vulnerables – TB/TB-DR"/>
    <x v="3"/>
    <n v="2"/>
    <x v="2"/>
    <s v="Detección oportuna de TB a todas las personas migrantes que cumplen con el criterio de TB presuntiva y caso de TB, por las Oficinas Sanitarias Internacionales (OSI) en coordinación con la red de establecimientos del MINSAL."/>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Migrantes y poblaciones moviles"/>
    <s v="Formación de personal Multidisciplinario del sistema de salud en monitoreo y evaluación de información epidemiológica clínica y programatica que brindan atención a migrantes."/>
    <s v="Lic. Bessy Velis "/>
    <s v="FM-L1"/>
    <x v="2"/>
    <s v="Atención de salud"/>
    <m/>
    <n v="0"/>
    <n v="0"/>
    <m/>
    <n v="0"/>
    <n v="0"/>
    <m/>
    <n v="0"/>
    <n v="0"/>
    <n v="125"/>
    <n v="25"/>
    <n v="3125"/>
    <n v="125"/>
    <n v="25"/>
    <n v="3125"/>
    <n v="6250"/>
    <s v="PNUD"/>
  </r>
  <r>
    <s v="Poblaciones clave y vulnerables – TB/TB-DR"/>
    <x v="3"/>
    <n v="9"/>
    <x v="2"/>
    <s v="Detección oportuna de TB a todas las personas migrantes que cumplen con el criterio de TB presuntiva y caso de TB, por las Oficinas Sanitarias Internacionales (OSI) en coordinación con la red de establecimientos del MINSAL."/>
    <s v="Meta 3.1: Incremento de la proporción de casos de TB notificados y derivados por el SNIS, ONG/OSC, municipalidades, comunidad y otros actores y aliados en la lucha contra la TB."/>
    <s v="3.1- Fortalecer la coordinación interinstitucional utilizando los modelos y herramientas legalmente establecidas. "/>
    <s v="Número de casos de tuberculosis confirmados bacteriológicamente (microscopía, pruebas moleculares y cultivo) en el período a evaluar"/>
    <s v="KVP-2 Número de personas con tuberculosis (todas las formas) notificadas entre las poblaciones clave/grupos de alto riesgo (distintos de personas privadas de libertad); *solo incluye pacientes nuevos y recaídas."/>
    <s v="Migrantes y poblaciones moviles"/>
    <s v="Compra de  refrigeradoras para Unidades de salud de Oficinas sanitarias internacionales (OSI)"/>
    <s v="Lic. Bessy Velis "/>
    <m/>
    <x v="1"/>
    <m/>
    <n v="6"/>
    <n v="300"/>
    <n v="1800"/>
    <n v="0"/>
    <n v="0"/>
    <n v="0"/>
    <m/>
    <m/>
    <n v="0"/>
    <m/>
    <n v="0"/>
    <n v="0"/>
    <m/>
    <m/>
    <n v="0"/>
    <n v="1800"/>
    <s v="PNUD"/>
  </r>
  <r>
    <s v="Eliminar los obstáculos relacionados con los derechos humanos y el género que dificultan el acceso a los servicios de tuberculosis"/>
    <x v="4"/>
    <n v="10"/>
    <x v="0"/>
    <s v="Campañas informativas sobre prevención y control de TB en las comunidades, a través de los diferentes medios de comunicación y redes sociales."/>
    <s v="Meta 1.7: Implementar campañas informativas y educativas para aumentar el conocimiento en la población sobre contenidos de TB, prioritariamente en grupos de mayor riesgo y vulnerabilidad. "/>
    <s v="1.1- Detectar oportunamente las personas con tuberculosis presuntivas, priorizando las poblaciones de mayor riesgo y vulnerabilidad."/>
    <s v="Número de campañas informativas y educativas desarrolladas en las cinco regiones de salud"/>
    <s v="TB I-2 : Tasa de incidencia de TB por 100 000 habitantes."/>
    <s v="Población General"/>
    <s v="Contratación de una empresa para el diseño y/o  difusión de mensajes a través de medios digitales"/>
    <s v="Lic Claudia Solorzano"/>
    <s v="FM-L1"/>
    <x v="3"/>
    <s v="C/U"/>
    <n v="1"/>
    <n v="10000"/>
    <n v="10000"/>
    <n v="1"/>
    <n v="10000"/>
    <n v="10000"/>
    <n v="1"/>
    <n v="10000"/>
    <n v="10000"/>
    <n v="0"/>
    <m/>
    <n v="0"/>
    <n v="1"/>
    <n v="0"/>
    <n v="0"/>
    <n v="30000"/>
    <s v="PNUD"/>
  </r>
  <r>
    <s v="Eliminar los obstáculos relacionados con los derechos humanos y el género que dificultan el acceso a los servicios de tuberculosis"/>
    <x v="4"/>
    <n v="3"/>
    <x v="0"/>
    <s v="Campañas informativas sobre prevención y control de TB en las comunidades, a través de los diferentes medios de comunicación y redes sociales."/>
    <s v="Meta 1.7: Implementar campañas informativas y educativas para aumentar el conocimiento en la población sobre contenidos de TB, prioritariamente en grupos de mayor riesgo y vulnerabilidad. "/>
    <s v="1.1- Detectar oportunamente las personas con tuberculosis presuntivas, priorizando las poblaciones de mayor riesgo y vulnerabilidad."/>
    <s v="Número de campañas informativas y educativas desarrolladas en las cinco regiones de salud"/>
    <s v="TB I-2 : Tasa de incidencia de TB por 100 000 habitantes."/>
    <s v="Población General"/>
    <s v="Contratación de una empresa para el diseño y/o  difusión de mensajes a través de medios digitales"/>
    <s v="Lic Claudia Solorzano"/>
    <s v="L1"/>
    <x v="2"/>
    <m/>
    <n v="0"/>
    <n v="0"/>
    <n v="0"/>
    <n v="0"/>
    <n v="0"/>
    <n v="0"/>
    <n v="0"/>
    <n v="0"/>
    <n v="0"/>
    <n v="1"/>
    <n v="10000"/>
    <n v="10000"/>
    <n v="1"/>
    <n v="10000"/>
    <n v="10000"/>
    <n v="20000"/>
    <s v="PNUD"/>
  </r>
  <r>
    <s v="Eliminar los obstáculos relacionados con los derechos humanos y el género que dificultan el acceso a los servicios de tuberculosis"/>
    <x v="4"/>
    <n v="2"/>
    <x v="3"/>
    <s v="Desarrollo de estrategia, políticas y reglamentos del sector de salud nacional"/>
    <s v="Meta 1: Detectar al menos el 90% de la incidencia de TB estimados por la OMS."/>
    <s v="1.1- Detectar oportunamente las personas con tuberculosis presuntivas, priorizando las poblaciones de mayor riesgo y vulnerabilidad."/>
    <s v="Tasa de incidencia de tuberculosis por cada 100,000 habitantes (&amp;)"/>
    <s v="TB I-2 Tasa de incidencia de la tuberculosis por 100.000 habitantes. "/>
    <s v="Todas las poblaciones"/>
    <s v="Formación de personal Multidisciplinario del sistema de salud en monitoreo y evaluación de información epidemiológica clínica y programatica para personal de salud de las diferentes regiones y SIBASI."/>
    <s v="Dr. Mario Soto"/>
    <s v="FM-L1"/>
    <x v="3"/>
    <s v="cada una"/>
    <n v="600"/>
    <n v="25"/>
    <n v="15000"/>
    <n v="600"/>
    <n v="25"/>
    <n v="15000"/>
    <n v="600"/>
    <n v="25"/>
    <n v="15000"/>
    <m/>
    <n v="0"/>
    <n v="0"/>
    <m/>
    <n v="0"/>
    <n v="0"/>
    <n v="45000"/>
    <s v="PNUD"/>
  </r>
  <r>
    <s v="Eliminar los obstáculos relacionados con los derechos humanos y el género que dificultan el acceso a los servicios de tuberculosis"/>
    <x v="4"/>
    <n v="2"/>
    <x v="3"/>
    <s v="Desarrollo de estrategia, políticas y reglamentos del sector de salud nacional"/>
    <s v="Meta 1: Detectar al menos el 90% de la incidencia de TB estimados por la OMS."/>
    <s v="1.1- Detectar oportunamente las personas con tuberculosis presuntivas, priorizando las poblaciones de mayor riesgo y vulnerabilidad."/>
    <s v="Tasa de incidencia de tuberculosis por cada 100,000 habitantes (&amp;)"/>
    <s v="TB I-2 Tasa de incidencia de la tuberculosis por 100.000 habitantes. "/>
    <s v="Todas las poblaciones"/>
    <s v="Formación de personal Multidisciplinario del sistema de salud en monitoreo y evaluación de información epidemiológica clínica y programatica para personal de salud de las diferentes regiones y SIBASI."/>
    <s v="Dr. Mario Soto"/>
    <s v="FM-L1"/>
    <x v="2"/>
    <s v="cada una"/>
    <m/>
    <n v="0"/>
    <n v="0"/>
    <m/>
    <n v="0"/>
    <n v="0"/>
    <m/>
    <n v="0"/>
    <n v="0"/>
    <n v="635"/>
    <n v="25"/>
    <n v="15875"/>
    <n v="635"/>
    <n v="25"/>
    <n v="15875"/>
    <n v="31750"/>
    <s v="PNUD"/>
  </r>
  <r>
    <s v="TB/VIH"/>
    <x v="5"/>
    <n v="5"/>
    <x v="0"/>
    <s v="Tamizaje, realización de pruebas y diagnostico en personas con coinfección TB/VIH"/>
    <s v="Meta 4: Tasa de mortalidad por TB menor a 0.9 por 100,000 habitantes. "/>
    <s v="1.4- Disminuir la mortalidad por coinfección TB/VIH a través de intervenciones oportunas."/>
    <s v="Tasa de mortalidad por tuberculosis (por cada 100.000 habitantes)"/>
    <s v="TB I-3: Tasa de mortalidad de la TB por 100 000 habitantes"/>
    <s v="Poblaciones de más alto riesgo persona con VIH"/>
    <s v="Compra de pruebas de TB LAM Ag, para diagnostico poblaciones de más alto riesgo persona con VIH. "/>
    <s v="Dr. Gilberto Ayala"/>
    <s v="FM-L1"/>
    <x v="1"/>
    <s v="cada una"/>
    <n v="500"/>
    <n v="10"/>
    <n v="5000"/>
    <n v="500"/>
    <n v="10"/>
    <n v="5000"/>
    <n v="500"/>
    <n v="10"/>
    <n v="5000"/>
    <n v="0"/>
    <n v="0"/>
    <n v="0"/>
    <n v="0"/>
    <n v="0"/>
    <n v="0"/>
    <n v="15000"/>
    <s v="OPS"/>
  </r>
  <r>
    <s v="TB/VIH"/>
    <x v="5"/>
    <n v="5"/>
    <x v="0"/>
    <s v="Tamizaje, realización de pruebas y diagnostico en personas con coinfección TB/VIH"/>
    <s v="Meta 4: Tasa de mortalidad por TB menor a 0.9 por 100,000 habitantes. "/>
    <s v="1.4- Disminuir la mortalidad por coinfección TB/VIH a través de intervenciones oportunas."/>
    <s v="Tasa de mortalidad por tuberculosis (por cada 100.000 habitantes)"/>
    <s v="TB I-3: Tasa de mortalidad de la TB por 100 000 habitantes"/>
    <s v="Poblaciones de más alto riesgo persona con VIH"/>
    <s v="Compra de pruebas de TB LAM Ag, para diagnostico poblaciones de más alto riesgo persona con VIH "/>
    <s v="Dr. Gilberto Ayala"/>
    <s v="FM-L1"/>
    <x v="2"/>
    <s v="cada una"/>
    <n v="0"/>
    <n v="0"/>
    <n v="0"/>
    <n v="0"/>
    <n v="0"/>
    <n v="0"/>
    <n v="0"/>
    <n v="0"/>
    <n v="0"/>
    <n v="800"/>
    <n v="10"/>
    <n v="8000"/>
    <n v="800"/>
    <n v="10"/>
    <n v="8000"/>
    <n v="16000"/>
    <s v="OPS"/>
  </r>
  <r>
    <s v="Diagnóstico, tratamiento y atención de la TB"/>
    <x v="1"/>
    <n v="5"/>
    <x v="1"/>
    <s v="Diagnóstico de la TB Sensible y DR/ pruebas de sensibilidad a los fármacos."/>
    <s v="Meta 2.2: Porcentaje de pacientes de TB que fueron diagnosticados a través de pruebas bacteriológicas 75%. "/>
    <s v="2.6. aumentar la capacidad instalada para realizar cultivos, tipificación,, resistencia y control de calidad de drogas"/>
    <s v="Número de casos de tuberculosis confirmados bacteriológicamente (microscopía, pruebas moleculares y cultivo)en el periodo a evaluar"/>
    <s v="TB I-2 : Tasa de incidencia de TB por 100 000 habitantes."/>
    <s v="Poblacion General / otras poblaciones de alto riesgo"/>
    <s v="Compra de frascos para muestras de esputo, para pruebas moleculares, BK y cultivos para pruebas en población general y otras poblaciones de riesgo (no PPL)"/>
    <s v="Lic. Rene Guevara"/>
    <s v="FM-L2"/>
    <x v="0"/>
    <s v="C/U"/>
    <n v="150000"/>
    <n v="0.2"/>
    <n v="30000"/>
    <n v="150000"/>
    <n v="0.2"/>
    <n v="30000"/>
    <n v="150000"/>
    <n v="0.2"/>
    <n v="30000"/>
    <n v="150000"/>
    <n v="0.2"/>
    <n v="30000"/>
    <n v="150000"/>
    <n v="0.2"/>
    <n v="30000"/>
    <n v="150000"/>
    <s v="PNUD"/>
  </r>
  <r>
    <s v="Poblaciones clave y vulnerables – TB/TB-DR"/>
    <x v="0"/>
    <n v="5"/>
    <x v="1"/>
    <s v="Descarte de la TB activa y latente para la administración de tratamiento a la enfermedad activa e ILTB en 100% de PPL en aquellos que son elegibles."/>
    <s v="Meta 2.2: Porcentaje de pacientes de TB que fueron diagnosticados a través de pruebas bacteriológicas 75%. "/>
    <s v="2.6. aumentar la capacidad instalada para realizar cultivos, tipificación,, resistencia y control de calidad de drogas"/>
    <s v="Número de casos de tuberculosis confirmados bacteriológicamente (microscopía, pruebas moleculares y cultivo)en el periodo a evaluar"/>
    <s v="TB I-2 : Tasa de incidencia de TB por 100 000 habitantes."/>
    <s v="Población de riesgo Privados de Libertad. (PPL)"/>
    <s v="Compra de frascos para muestras de esputo, para pruebas moleculares, BK y cultivo; para pruebas en poblaciones de alta vulnerabilidad en PPL."/>
    <s v="Lic. Rene Guevara"/>
    <s v="FM-L2"/>
    <x v="1"/>
    <s v="C/U"/>
    <n v="50000"/>
    <n v="0.2"/>
    <n v="10000"/>
    <n v="50000"/>
    <n v="0.2"/>
    <n v="10000"/>
    <n v="50000"/>
    <n v="0.2"/>
    <n v="10000"/>
    <m/>
    <n v="0"/>
    <n v="0"/>
    <m/>
    <n v="0"/>
    <n v="0"/>
    <n v="30000"/>
    <s v="PNUD"/>
  </r>
  <r>
    <s v="Diagnóstico, tratamiento y atención de la TB"/>
    <x v="6"/>
    <n v="5"/>
    <x v="1"/>
    <s v="Diagnóstico de la TB Sensible y DR/ pruebas de sensibilidad a los fármacos."/>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2  Número de personas con TB-RR y/o TB-MDR confirmada _x000a_notificado. "/>
    <s v="Todas las poblaciones"/>
    <s v="Compra de reactivos, consumibles para MGIT y realización del control de calidad a traves de paneles. (ANEXO 1)"/>
    <s v="Lic. Rene Guevara/ Yanira Melendez"/>
    <s v="FM-L2"/>
    <x v="1"/>
    <s v="C/U"/>
    <n v="1"/>
    <n v="24915.38"/>
    <n v="24915.38"/>
    <n v="1"/>
    <n v="24984.94"/>
    <n v="24984.94"/>
    <n v="1"/>
    <n v="26752.22"/>
    <n v="26752.22"/>
    <m/>
    <n v="0"/>
    <n v="0"/>
    <m/>
    <n v="0"/>
    <n v="0"/>
    <n v="76652.540000000008"/>
    <s v="OPS"/>
  </r>
  <r>
    <s v="Diagnóstico, tratamiento y atención de la TB"/>
    <x v="6"/>
    <n v="5"/>
    <x v="1"/>
    <s v="Diagnóstico de la TB Sensible y DR/ pruebas de sensibilidad a los fármacos."/>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2  Número de personas con TB-RR y/o TB-MDR confirmada _x000a_notificado. "/>
    <s v="Todas las poblaciones"/>
    <s v="Compra de reactivos, consumibles para MGIT y realización del control de calidad a traves de paneles. (ANEXO 1)"/>
    <s v="Lic. Rene Guevara/ Yanira Melendez"/>
    <s v="FM-L2"/>
    <x v="2"/>
    <s v="C/U"/>
    <m/>
    <n v="0"/>
    <n v="0"/>
    <m/>
    <n v="0"/>
    <n v="0"/>
    <m/>
    <n v="0"/>
    <n v="0"/>
    <n v="1"/>
    <n v="25000"/>
    <n v="25000"/>
    <n v="1"/>
    <n v="25000"/>
    <n v="25000"/>
    <n v="50000"/>
    <s v="OPS"/>
  </r>
  <r>
    <s v="Poblaciones clave y vulnerables – TB/TB-DR"/>
    <x v="0"/>
    <n v="5"/>
    <x v="1"/>
    <s v="Descarte de la TB activa y latente para la administración de tratamiento a la enfermedad activa e ILTB en 100% de PPL en aquellos que son elegible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Población de riesgo Privados de Libertad. (PPL)"/>
    <s v="Compra de cartuchos para equipo Gene Xpert MTB/RIF ULTRA (Principalmente para poblaciones de más alto riesgo  privados de libertad.  "/>
    <s v="Lic. Rene Guevara"/>
    <s v="FM-L2"/>
    <x v="1"/>
    <s v="C/U"/>
    <n v="32000"/>
    <n v="8"/>
    <n v="256000"/>
    <n v="32000"/>
    <n v="8"/>
    <n v="256000"/>
    <n v="27000"/>
    <n v="8"/>
    <n v="216000"/>
    <m/>
    <n v="0"/>
    <n v="0"/>
    <m/>
    <n v="0"/>
    <n v="0"/>
    <n v="728000"/>
    <s v="OPS"/>
  </r>
  <r>
    <s v="Poblaciones clave y vulnerables – TB/TB-DR"/>
    <x v="0"/>
    <n v="5"/>
    <x v="1"/>
    <s v="Descarte de la TB activa y latente para la administración de tratamiento a la enfermedad activa e ILTB en 100% de PPL en aquellos que son elegible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Población de riesgo Privados de Libertad. (PPL)"/>
    <s v="Compra de cartuchos para equipo Gene Xpert MTB/RIF ULTRA (Principalmente para poblaciones de más alto riesgo  privados de libertad.  "/>
    <s v="Lic. Rene Guevara"/>
    <s v="FM-L2"/>
    <x v="2"/>
    <s v="C/U"/>
    <m/>
    <n v="0"/>
    <n v="0"/>
    <m/>
    <n v="0"/>
    <n v="0"/>
    <m/>
    <n v="0"/>
    <n v="0"/>
    <n v="27000"/>
    <n v="8"/>
    <n v="216000"/>
    <n v="27000"/>
    <n v="8"/>
    <n v="216000"/>
    <n v="432000"/>
    <s v="OPS"/>
  </r>
  <r>
    <s v="Diagnóstico, tratamiento y atención de la TB"/>
    <x v="1"/>
    <n v="5"/>
    <x v="1"/>
    <s v="Descarte de la TB activa y latente para la administración de tratamiento a la enfermedad activa e ILTB en 100% de PPL en aquellos que son elegible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Población de riesgo Privados de Libertad. (PPL)"/>
    <s v="Compra de cartuchos para equipo Gene Xpert MTB/RIF ULTRA (Principalmente para poblaciones de más alto riesgo  privados de libertad.  "/>
    <s v="Lic. Rene Guevara"/>
    <m/>
    <x v="0"/>
    <s v="C/U"/>
    <n v="24000"/>
    <n v="8"/>
    <n v="192000"/>
    <n v="28000"/>
    <n v="8"/>
    <n v="224000"/>
    <n v="28000"/>
    <n v="8"/>
    <n v="224000"/>
    <n v="20000"/>
    <n v="8"/>
    <n v="160000"/>
    <n v="20000"/>
    <n v="8"/>
    <n v="160000"/>
    <n v="960000"/>
    <s v="OPS"/>
  </r>
  <r>
    <s v="TB/VIH"/>
    <x v="5"/>
    <n v="5"/>
    <x v="1"/>
    <s v="Actividades Colaborativas TB/VIH"/>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Poblaciones de más alto riesgo persona con VIH"/>
    <s v="Compra de cartuchos para equipo Gene Xpert MTB/RIF ULTRA Principalmente para poblaciones de más alto riesgo persona con VIH "/>
    <s v="Lic. Rene Guevara"/>
    <m/>
    <x v="0"/>
    <s v="C/U"/>
    <n v="1200"/>
    <n v="8"/>
    <n v="9600"/>
    <n v="1200"/>
    <n v="8"/>
    <n v="9600"/>
    <n v="1200"/>
    <n v="8"/>
    <n v="9600"/>
    <n v="1200"/>
    <n v="8"/>
    <n v="9600"/>
    <n v="1200"/>
    <n v="8"/>
    <n v="9600"/>
    <n v="48000"/>
    <s v="OPS"/>
  </r>
  <r>
    <s v="Poblaciones clave y vulnerables  "/>
    <x v="2"/>
    <n v="5"/>
    <x v="1"/>
    <s v="Tamizaje, diagnóstico y control del tratamiento de la tuberculosi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Poblaciones general con alto riesgo, como inmuno deficientes, niños, Diabetes, contactos, personas con Enfermedad Renal; cancer; personal de salud, entre otros."/>
    <s v="Compra de cartuchos para equipo Gene Xpert MTB/RIF ULTRA Principalmente para Poblaciones general con alto riesgo, como inmuno deficientes, niños, Diabetes, contactos, personas con Enfermedad Renal; cancer; personal de salud, entre otros."/>
    <s v="Lic. Rene Guevara"/>
    <m/>
    <x v="0"/>
    <s v="C/U"/>
    <n v="36312"/>
    <n v="8"/>
    <n v="290496"/>
    <n v="36312"/>
    <n v="8"/>
    <n v="290496"/>
    <n v="36312"/>
    <n v="8"/>
    <n v="290496"/>
    <n v="36312"/>
    <n v="8"/>
    <n v="290496"/>
    <n v="36312"/>
    <n v="8"/>
    <n v="290496"/>
    <n v="1452480"/>
    <s v="OPS"/>
  </r>
  <r>
    <s v="Diagnóstico, tratamiento y atención de la TB"/>
    <x v="6"/>
    <n v="3"/>
    <x v="1"/>
    <s v="Tamizaje, diagnóstico y control del tratamiento de la tuberculosis"/>
    <s v="2.2. Porcentaje de pacientes nuevos de TB que fueron diagnosticados a través de pruebas bacteriológicas 75%"/>
    <s v="2.8 Mejora de la calidad y enfoques de los programas y la prestación de servicios."/>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Todas las poblaciones"/>
    <s v=" Adquisicion de servicio de importacion de Kits (paneles de proefiencia) para evaluacion externa de calidad."/>
    <s v="Lic. Rene Guevara/ Yanira Melendez"/>
    <s v="FM-L2"/>
    <x v="1"/>
    <s v="C/U"/>
    <n v="1"/>
    <n v="4000"/>
    <n v="4000"/>
    <n v="1"/>
    <n v="4000"/>
    <n v="4000"/>
    <n v="1"/>
    <n v="4000"/>
    <n v="4000"/>
    <m/>
    <n v="0"/>
    <n v="0"/>
    <m/>
    <n v="0"/>
    <n v="0"/>
    <n v="12000"/>
    <s v="OPS"/>
  </r>
  <r>
    <s v="Diagnóstico, tratamiento y atención de la TB"/>
    <x v="6"/>
    <n v="3"/>
    <x v="1"/>
    <s v="Tamizaje, diagnóstico y control del tratamiento de la tuberculosis"/>
    <s v="2.2. Porcentaje de pacientes nuevos de TB que fueron diagnosticados a través de pruebas bacteriológicas 75%"/>
    <s v="2.8 Mejora de la calidad y enfoques de los programas y la prestación de servicios."/>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Todas las poblaciones"/>
    <s v=" Adquisicion de servicio de importacion de Kits (paneles de proefiencia) para evaluacion externa de calidad."/>
    <s v="Lic. Rene Guevara/ Yanira Melendez"/>
    <s v="FM-L2"/>
    <x v="2"/>
    <s v="C/U"/>
    <m/>
    <n v="0"/>
    <n v="0"/>
    <m/>
    <n v="0"/>
    <n v="0"/>
    <m/>
    <n v="0"/>
    <n v="0"/>
    <n v="1"/>
    <n v="5000"/>
    <n v="5000"/>
    <n v="1"/>
    <n v="5000"/>
    <n v="5000"/>
    <n v="10000"/>
    <s v="OPS"/>
  </r>
  <r>
    <s v="Diagnóstico, tratamiento y atención de la TB"/>
    <x v="1"/>
    <n v="3"/>
    <x v="1"/>
    <s v="Tamizaje, diagnóstico y control del tratamiento de la tuberculosi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Todas las poblaciones"/>
    <s v="Compra de Kit de Xpert Check para equipos de pruebas moleculares para el diagnostico de TB y vigilancia de la TB/DR"/>
    <s v="Lic. Rene Guevara"/>
    <s v="FM-L2"/>
    <x v="1"/>
    <s v="C/U"/>
    <n v="35"/>
    <n v="500"/>
    <n v="17500"/>
    <n v="34"/>
    <n v="500"/>
    <n v="17000"/>
    <n v="27"/>
    <n v="500"/>
    <n v="13500"/>
    <m/>
    <n v="0"/>
    <n v="0"/>
    <m/>
    <n v="0"/>
    <n v="0"/>
    <n v="48000"/>
    <s v="OPS"/>
  </r>
  <r>
    <s v="Diagnóstico, tratamiento y atención de la TB"/>
    <x v="1"/>
    <n v="5"/>
    <x v="1"/>
    <s v="Tamizaje, diagnóstico y control del tratamiento de la tuberculosi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Todas las poblaciones"/>
    <s v="Compra de Kit de Xpert Check para equipos de pruebas moleculares para el diagnostico de TB y vigilancia de la TB/DR"/>
    <s v="Lic. Rene Guevara"/>
    <m/>
    <x v="0"/>
    <s v="C/U"/>
    <n v="45"/>
    <n v="500"/>
    <n v="22500"/>
    <n v="45"/>
    <n v="500"/>
    <n v="22500"/>
    <n v="45"/>
    <n v="500"/>
    <n v="22500"/>
    <n v="45"/>
    <n v="500"/>
    <n v="22500"/>
    <n v="45"/>
    <n v="500"/>
    <n v="22500"/>
    <n v="112500"/>
    <s v="OPS"/>
  </r>
  <r>
    <s v="Diagnóstico, tratamiento y atención de la TB"/>
    <x v="1"/>
    <n v="3"/>
    <x v="1"/>
    <s v="Tamizaje, diagnóstico y control del tratamiento de la tuberculosi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  Porcentaje de laboratorios de pruebas de sensibilidad a los _x000a_fármacos que muestran un desempeño adecuado en lo que se _x000a_refiere al aseguramiento externo de la calidad. "/>
    <s v="Todas las poblaciones"/>
    <s v="Compra de Kit de Xpert Check para equipos de pruebas moleculares para el diagnostico de TB y vigilancia de la TB/DR"/>
    <s v="Lic. Rene Guevara"/>
    <s v="FM-L2"/>
    <x v="2"/>
    <s v="C/U"/>
    <m/>
    <n v="0"/>
    <n v="0"/>
    <m/>
    <n v="0"/>
    <n v="0"/>
    <m/>
    <n v="0"/>
    <n v="0"/>
    <n v="25"/>
    <n v="500"/>
    <n v="12500"/>
    <n v="25"/>
    <n v="500"/>
    <n v="12500"/>
    <n v="25000"/>
    <s v="OPS"/>
  </r>
  <r>
    <s v="Diagnóstico, tratamiento y atención de la TB-DR"/>
    <x v="6"/>
    <n v="5"/>
    <x v="1"/>
    <s v="Vigilancia continua de la farmacorresistencia en PPL con pruebas moleculares al 100% de personas con TB presuntiva."/>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Poblaciones de más alto riesgo Población privados de libertad, sospechosos de TB/MDR o TB/RR, personas con diabetes, entre otros"/>
    <s v="Compra de cartuchos para equipo Gene Xpert  XDR (Principalmente para poblaciones de más alto riesgo Población privados de libertad, sospechosos de TB/MDR o TB/RR, personas con diabetes, entre otros)."/>
    <s v="Lic. Rene Guevara"/>
    <s v="FM-L2"/>
    <x v="1"/>
    <s v="C/U"/>
    <n v="3500"/>
    <n v="14.9"/>
    <n v="52150"/>
    <n v="3500"/>
    <n v="14.9"/>
    <n v="52150"/>
    <n v="3500"/>
    <n v="14.9"/>
    <n v="52150"/>
    <m/>
    <n v="0"/>
    <n v="0"/>
    <m/>
    <n v="0"/>
    <n v="0"/>
    <n v="156450"/>
    <s v="OPS"/>
  </r>
  <r>
    <s v="Poblaciones clave y vulnerables – TB/TB-DR"/>
    <x v="0"/>
    <n v="5"/>
    <x v="1"/>
    <s v="Vigilancia continua de la farmacorresistencia en PPL con pruebas moleculares al 100% de personas con TB presuntiva."/>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Poblaciones de más alto riesgo Población privados de libertad, sospechosos de TB/MDR o TB/RR, personas con diabetes, entre otros"/>
    <s v="Compra de cartuchos para equipo Gene Xpert  XDR (Principalmente para poblaciones de más alto riesgo población privados de libertad, sospechosos de TB/MDR o TB/RR."/>
    <s v="Lic. Rene Guevara"/>
    <s v="FM-L2"/>
    <x v="2"/>
    <s v="C/U"/>
    <m/>
    <n v="0"/>
    <n v="0"/>
    <m/>
    <n v="0"/>
    <n v="0"/>
    <m/>
    <n v="0"/>
    <n v="0"/>
    <n v="3500"/>
    <n v="14.9"/>
    <n v="52150"/>
    <n v="3500"/>
    <n v="14.9"/>
    <n v="52150"/>
    <n v="104300"/>
    <s v="OPS"/>
  </r>
  <r>
    <s v="Diagnóstico, tratamiento y atención de la TB-DR"/>
    <x v="6"/>
    <n v="5"/>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11  Porcentaje de pacientes con TB pre-XDR con resultado de PSF a drogas del grupo A distintos de las fluoroquinolonas entre el número total de pacientes con TB pre-XDR notificados (nuevos y en retratamiento) durante el período de reporte."/>
    <s v="Principalmente para otras poblaciones de más alto riesgo y sospechosos de TB/MDR o TB/RR"/>
    <s v="Compra de cartuchos para equipo Gene Xpert  XDR (Principalmente para otras poblaciones de más alto riesgo y sospechosos de TB/MDR o TB/RR, como personas con diabetes, VIH, comorbilidades, niños, contactos, personal de salud, entre otros."/>
    <s v="Lic. Rene Guevara"/>
    <m/>
    <x v="0"/>
    <s v="C/U"/>
    <n v="1200"/>
    <n v="14.9"/>
    <n v="17880"/>
    <n v="1200"/>
    <n v="14.9"/>
    <n v="17880"/>
    <n v="1200"/>
    <n v="14.9"/>
    <n v="17880"/>
    <n v="1200"/>
    <n v="14.9"/>
    <n v="17880"/>
    <n v="1200"/>
    <n v="14.9"/>
    <n v="17880"/>
    <n v="89400"/>
    <s v="OPS"/>
  </r>
  <r>
    <s v="Diagnóstico, tratamiento y atención de la TB"/>
    <x v="1"/>
    <n v="6"/>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Todas las poblaciones"/>
    <s v="Adquisición de modulos de repuesto de  equipos Gene Xpert."/>
    <s v="Lic. Rene Guevara"/>
    <s v="FM-L2"/>
    <x v="1"/>
    <s v="C/U"/>
    <n v="28"/>
    <n v="3860"/>
    <n v="108080"/>
    <n v="10"/>
    <n v="3860"/>
    <n v="38600"/>
    <n v="8"/>
    <n v="3860"/>
    <n v="30880"/>
    <m/>
    <n v="0"/>
    <n v="0"/>
    <m/>
    <n v="0"/>
    <n v="0"/>
    <n v="177560"/>
    <s v="OPS"/>
  </r>
  <r>
    <s v="Diagnóstico, tratamiento y atención de la TB"/>
    <x v="1"/>
    <n v="6"/>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Todas las poblaciones"/>
    <s v="Adquisición de modulos de repuesto de  equipos Gene Xpert."/>
    <s v="Lic. Rene Guevara"/>
    <s v="FM-L2"/>
    <x v="2"/>
    <s v="C/U"/>
    <n v="0"/>
    <n v="0"/>
    <n v="0"/>
    <n v="0"/>
    <n v="0"/>
    <n v="0"/>
    <m/>
    <n v="0"/>
    <n v="0"/>
    <n v="5"/>
    <n v="3860"/>
    <n v="19300"/>
    <n v="5"/>
    <n v="3860"/>
    <n v="19300"/>
    <n v="38600"/>
    <s v="OPS"/>
  </r>
  <r>
    <s v="Diagnóstico, tratamiento y atención de la TB"/>
    <x v="1"/>
    <n v="6"/>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DRTB-6  Porcentaje de pacientes con tuberculosis y con resultado de PSF _x000a_a la rifampicina entre el número total de pacientes notificados _x000a_(nuevos y en retratamiento) durante el período de reporte. "/>
    <s v="Todas las poblaciones"/>
    <s v="Adquisición de modulos de repuesto de  equipos Gene Xpert."/>
    <s v="Lic. Rene Guevara"/>
    <m/>
    <x v="0"/>
    <s v="C/U"/>
    <n v="45"/>
    <n v="3860"/>
    <n v="173700"/>
    <n v="45"/>
    <n v="3860"/>
    <n v="173700"/>
    <n v="45"/>
    <n v="3860"/>
    <n v="173700"/>
    <n v="45"/>
    <n v="3860"/>
    <n v="173700"/>
    <n v="45"/>
    <n v="3860"/>
    <n v="173700"/>
    <n v="868500"/>
    <m/>
  </r>
  <r>
    <s v="Diagnóstico, tratamiento y atención de la TB"/>
    <x v="1"/>
    <n v="5"/>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TB I-2 Tasa de incidencia de la tuberculosis por 100.000 habitantes.  "/>
    <s v="Todas las poblaciones"/>
    <s v="Compra de Tubo cónico  polietileno pollipropileno, graduado, capacidad 50 mililitros, con tapon de rosca, Esteril, Empaque Individual"/>
    <s v="Lic. Rene Guevara"/>
    <s v="FM-L2"/>
    <x v="1"/>
    <s v="C/U"/>
    <n v="20000"/>
    <n v="0.4"/>
    <n v="8000"/>
    <n v="20000"/>
    <n v="0.4"/>
    <n v="8000"/>
    <n v="20000"/>
    <n v="0.4"/>
    <n v="8000"/>
    <m/>
    <n v="0"/>
    <n v="0"/>
    <m/>
    <n v="0"/>
    <n v="0"/>
    <n v="24000"/>
    <s v="MINSAL"/>
  </r>
  <r>
    <s v="Diagnóstico, tratamiento y atención de la TB"/>
    <x v="1"/>
    <n v="5"/>
    <x v="1"/>
    <s v="Diagnóstico de la TB Sensible y DR/ pruebas de sensibilidad a los fármacos."/>
    <s v="2.2. Porcentaje de pacientes nuevos de TB que fueron diagnosticados a través de pruebas bacteriológicas 75%"/>
    <s v="2.4. Realizar vigilancia permanente de la TB farmacorresistente a través de pruebas convencionales y moleculares en el SNIS para su tratamiento precoz."/>
    <s v="Número de casos de tuberculosis confirmados bacteriológicamente (microscopía, pruebas moleculares y cultivo)en el periodo a evaluar"/>
    <s v="TB I-2 Tasa de incidencia de la tuberculosis por 100.000 habitantes.  "/>
    <s v="Todas las poblaciones"/>
    <s v="Compra de Tubo cónico  polietileno pollipropileno, graduado, capacidad 50 mililitros, con tapon de rosca, Esteril, Empaque Individual"/>
    <s v="Lic. Rene Guevara"/>
    <s v="FM-L2"/>
    <x v="2"/>
    <s v="C/U"/>
    <m/>
    <n v="0"/>
    <n v="0"/>
    <m/>
    <n v="0"/>
    <n v="0"/>
    <m/>
    <n v="0"/>
    <n v="0"/>
    <n v="25000"/>
    <n v="0.4"/>
    <n v="10000"/>
    <n v="25000"/>
    <n v="0.4"/>
    <n v="10000"/>
    <n v="20000"/>
    <s v="MINSAL"/>
  </r>
  <r>
    <s v="Diagnóstico, tratamiento y atención de la TB"/>
    <x v="1"/>
    <n v="2"/>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Reuniones de monitoreo y evaluación de para analisis de información epidemiologica y programatica a nivel nacional con regiones de salud, e instituciones de SNIS."/>
    <s v="Dr. Mario Soto"/>
    <s v="FM-L3"/>
    <x v="1"/>
    <s v="cada una"/>
    <n v="640"/>
    <n v="25"/>
    <n v="16000"/>
    <n v="640"/>
    <n v="25"/>
    <n v="16000"/>
    <n v="640"/>
    <n v="25"/>
    <n v="16000"/>
    <m/>
    <n v="0"/>
    <n v="0"/>
    <m/>
    <n v="0"/>
    <n v="0"/>
    <n v="48000"/>
    <s v="PNUD"/>
  </r>
  <r>
    <s v="Diagnóstico, tratamiento y atención de la TB"/>
    <x v="1"/>
    <n v="2"/>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Monitoreo y evaluación"/>
    <s v="Reuniones de monitoreo y evaluación de para analisis de información epidemiologica y programatica a nivel nacional con regiones de salud, e instituciones de SNIS."/>
    <s v="Dr. Mario Soto"/>
    <s v="FM-L3"/>
    <x v="2"/>
    <s v="cada una"/>
    <m/>
    <n v="0"/>
    <n v="0"/>
    <m/>
    <n v="0"/>
    <n v="0"/>
    <m/>
    <n v="0"/>
    <n v="0"/>
    <n v="640"/>
    <n v="25"/>
    <n v="16000"/>
    <n v="640"/>
    <n v="25"/>
    <n v="16000"/>
    <n v="32000"/>
    <s v="PNUD"/>
  </r>
  <r>
    <s v="Diagnóstico, tratamiento y atención de la TB"/>
    <x v="1"/>
    <n v="2"/>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 Tasa de incidencia de TB por 100 000 habitantes."/>
    <s v="Monitoreo y evaluación"/>
    <s v="Servicios de alojamiento para el monitoreo de indicadores en los establecimeintos de salud de  las Regiones de Salud Oriental y Occidental. "/>
    <s v="Dr. Mario Soto"/>
    <s v="FM-L3"/>
    <x v="1"/>
    <s v="cada una"/>
    <n v="26"/>
    <n v="60"/>
    <n v="1560"/>
    <n v="26"/>
    <n v="60"/>
    <n v="1560"/>
    <n v="26"/>
    <n v="60"/>
    <n v="1560"/>
    <m/>
    <n v="0"/>
    <n v="0"/>
    <m/>
    <n v="0"/>
    <n v="0"/>
    <n v="4680"/>
    <s v="PNUD"/>
  </r>
  <r>
    <s v="Diagnóstico, tratamiento y atención de la TB"/>
    <x v="1"/>
    <n v="2"/>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 Tasa de incidencia de TB por 100 000 habitantes."/>
    <s v="Monitoreo y evaluación"/>
    <s v="Servicios de alojamiento para el monitoreo de indicadores en los establecimeintos de salud de  las Regiones de Salud Oriental y Occidental"/>
    <s v="Dr. Mario Soto"/>
    <s v="FM-L3"/>
    <x v="2"/>
    <s v="cada una"/>
    <m/>
    <n v="0"/>
    <n v="0"/>
    <m/>
    <n v="0"/>
    <n v="0"/>
    <m/>
    <n v="0"/>
    <n v="0"/>
    <n v="100"/>
    <n v="60"/>
    <n v="6000"/>
    <n v="100"/>
    <n v="60"/>
    <n v="6000"/>
    <n v="12000"/>
    <s v="PNUD"/>
  </r>
  <r>
    <s v="Gestión de programas"/>
    <x v="7"/>
    <n v="11"/>
    <x v="2"/>
    <s v="Gestión y Administración"/>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servicios del Sistema Nacional Integrado de Salud, centros penales y organizaciones de la sociedad civil operativizando la Estrategia Fin de la TB"/>
    <s v="TBDT-3b  Porcentaje de pacientes notificados con todas las formas de _x000a_tuberculosis (esto es, confirmada bacteriológicamente + _x000a_diagnosticada clínicamente) aportados por proveedores ajenos al _x000a_programa nacional de tuberculosis – sector público; *incluye _x000a_únicamente pacientes nuevos y recaídas."/>
    <s v="Todas las poblaciones"/>
    <s v="Compra de servicio de telefonia movil"/>
    <s v="Lic. Karla Sánchez"/>
    <s v="FM-L3"/>
    <x v="1"/>
    <s v="C/U"/>
    <n v="1"/>
    <n v="15700"/>
    <n v="15700"/>
    <n v="1"/>
    <n v="16171"/>
    <n v="16171"/>
    <n v="1"/>
    <n v="16656.13"/>
    <n v="16656.13"/>
    <m/>
    <m/>
    <n v="0"/>
    <m/>
    <m/>
    <n v="0"/>
    <n v="48527.130000000005"/>
    <s v="MINSAL"/>
  </r>
  <r>
    <s v="Diagnóstico, tratamiento y atención de la TB"/>
    <x v="1"/>
    <n v="10"/>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Impresión de libros y formularios para el registro de la informacion primaria en los establecimientos del SNIS. Compra de insumos para área de imprenta incluye material educativo y audiovision para el control de la tuberculosis con enfoque intercultural."/>
    <s v="Lic Bessy Velis / Lic. Yanira Chita"/>
    <s v="FM-L3"/>
    <x v="2"/>
    <m/>
    <n v="1"/>
    <n v="15998.6"/>
    <n v="15998.6"/>
    <n v="1"/>
    <n v="15998.6"/>
    <n v="15998.6"/>
    <n v="1"/>
    <n v="16000"/>
    <n v="16000"/>
    <m/>
    <n v="0"/>
    <n v="0"/>
    <m/>
    <n v="0"/>
    <n v="0"/>
    <n v="47997.2"/>
    <s v="PNUD"/>
  </r>
  <r>
    <s v="Diagnóstico, tratamiento y atención de la TB"/>
    <x v="1"/>
    <n v="10"/>
    <x v="2"/>
    <s v="Desarrollo de estrategia, políticas y reglamentos del sector de salud nacional"/>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Impresión de libros y formularios para el registro de la informacion primaria en los establecimientos del SNIS. Compra de insumos para área de imprenta incluye material educativo y audiovision para el control de la tuberculosis con enfoque intercultural"/>
    <s v="Lic Bessy Velis / Lic. Yanira Chita"/>
    <s v="FM-L3"/>
    <x v="2"/>
    <m/>
    <m/>
    <n v="0"/>
    <n v="0"/>
    <m/>
    <n v="0"/>
    <n v="0"/>
    <m/>
    <n v="0"/>
    <n v="0"/>
    <n v="1"/>
    <n v="16000"/>
    <n v="16000"/>
    <n v="1"/>
    <n v="16000"/>
    <n v="16000"/>
    <n v="32000"/>
    <s v="PNUD"/>
  </r>
  <r>
    <s v="Diagnóstico, tratamiento y atención de la TB"/>
    <x v="1"/>
    <n v="2"/>
    <x v="2"/>
    <s v="Involucramiento de otros proveedores no PNT en la atención de la TB (Observatorio TB, ONG/OSC, proveedores de salud privados, gobiernos municipales, sector académico)."/>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 Congreso Nacional de tuberculosis."/>
    <s v="Dr. Mario Soto/Lic. Bessy Velis"/>
    <s v="FM-L3"/>
    <x v="2"/>
    <s v="cada una"/>
    <n v="250"/>
    <n v="30"/>
    <n v="7500"/>
    <n v="250"/>
    <n v="30"/>
    <n v="7500"/>
    <n v="250"/>
    <n v="30"/>
    <n v="7500"/>
    <m/>
    <n v="0"/>
    <n v="0"/>
    <m/>
    <n v="0"/>
    <n v="0"/>
    <n v="22500"/>
    <s v="PNUD"/>
  </r>
  <r>
    <s v="Diagnóstico, tratamiento y atención de la TB"/>
    <x v="1"/>
    <n v="2"/>
    <x v="2"/>
    <s v="Involucramiento de otros proveedores no PNT en la atención de la TB (Observatorio TB, ONG/OSC, proveedores de salud privados, gobiernos municipales, sector académico)."/>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 Congreso Nacional de tuberculosis."/>
    <s v="Dr. Mario Soto/Lic. Bessy Velis"/>
    <s v="FM-L3"/>
    <x v="2"/>
    <s v="cada una"/>
    <m/>
    <n v="0"/>
    <n v="0"/>
    <m/>
    <n v="0"/>
    <n v="0"/>
    <m/>
    <n v="0"/>
    <n v="0"/>
    <n v="250"/>
    <n v="30"/>
    <n v="7500"/>
    <n v="250"/>
    <n v="30"/>
    <n v="7500"/>
    <n v="15000"/>
    <s v="PNUD"/>
  </r>
  <r>
    <s v="Diagnóstico, tratamiento y atención de la TB"/>
    <x v="1"/>
    <n v="10"/>
    <x v="2"/>
    <s v="Involucramiento de otros proveedores no PNT en la atención de la TB (Observatorio TB, ONG/OSC, proveedores de salud privados, gobiernos municipales, sector académico)."/>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Compra de materiales para proporcionar a los participantes del congreso (maletines, memorias USB, bolígrafos). "/>
    <s v="Lic Bessy Velis"/>
    <s v="FM-L3"/>
    <x v="2"/>
    <s v="cada una"/>
    <n v="250"/>
    <n v="19.2"/>
    <n v="4800"/>
    <n v="250"/>
    <n v="19.2"/>
    <n v="4800"/>
    <n v="250"/>
    <n v="19.2"/>
    <n v="4800"/>
    <n v="0"/>
    <n v="0"/>
    <n v="0"/>
    <m/>
    <n v="0"/>
    <n v="0"/>
    <n v="14400"/>
    <s v="PNUD"/>
  </r>
  <r>
    <s v="Diagnóstico, tratamiento y atención de la TB"/>
    <x v="1"/>
    <n v="10"/>
    <x v="2"/>
    <s v="Involucramiento de otros proveedores no PNT en la atención de la TB (Observatorio TB, ONG/OSC, proveedores de salud privados, gobiernos municipales, sector académico)."/>
    <s v="Meta 3.2: Operativizar la normativa institucional en prevención y control de TB en al menos el 90% de establecimientos del SNIS, y otros colaboradores en la lucha contra la TB."/>
    <s v="3.1- Fortalecer la coordinación interinstitucional utilizando los modelos y herramientas legalmente establecidas. "/>
    <s v="Porcentaje de servicios del Sistema Nacional Integrado de Salud, centros penales y organizaciones de la sociedad civil operativizando la Estrategia Fin de la TB"/>
    <s v="TB I-2 Tasa de incidencia de la tuberculosis por 100.000 habitantes. "/>
    <s v="Todas las poblaciones"/>
    <s v="Compra de materiales para proporcionar a los participantes del congreso (maletines, memorias USB, bolígrafos)."/>
    <s v="Lic Bessy Velis"/>
    <s v="FM-L3"/>
    <x v="2"/>
    <m/>
    <n v="0"/>
    <n v="0"/>
    <n v="0"/>
    <m/>
    <n v="0"/>
    <n v="0"/>
    <m/>
    <n v="0"/>
    <n v="0"/>
    <n v="350"/>
    <n v="20.57"/>
    <n v="7199.5"/>
    <n v="350"/>
    <n v="20.57"/>
    <n v="7199.5"/>
    <n v="14399"/>
    <s v="PNUD"/>
  </r>
  <r>
    <s v="Colaboración con otros proveedores y sectores"/>
    <x v="8"/>
    <n v="10"/>
    <x v="2"/>
    <s v="Involucramiento de otros proveedores no PNT en la atención de la TB (Observatorio TB, ONG/OSC, proveedores de salud privados, gobiernos municipales, sector académico)."/>
    <s v="Meta 3.2: Expandir a otros municipios más la iniciativa de TB en Grandes Ciudades. "/>
    <s v="3.3- 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
    <s v="Número de municipios donde se está implementando la iniciativa de grandes ciudades"/>
    <s v="TB I-2 : Tasa de incidencia de TB por 100 000 habitantes."/>
    <s v="Todas las poblaciones"/>
    <s v="Compra de promocionales e insumos para realizar movilizacion social en el Día Mundial de TB con las municipalidades que participan en la Iniciativa de TB en Grandes Ciudades._x000a_"/>
    <s v="Lic. Bessy Velis/Dr. Gilberto Ayala"/>
    <s v="FM-L3"/>
    <x v="2"/>
    <s v="C/U"/>
    <n v="1"/>
    <n v="9995"/>
    <n v="9995"/>
    <n v="1"/>
    <n v="9995"/>
    <n v="9995"/>
    <n v="1"/>
    <n v="9995"/>
    <n v="9995"/>
    <n v="1"/>
    <n v="9995"/>
    <n v="9995"/>
    <n v="1"/>
    <n v="9995"/>
    <n v="9995"/>
    <n v="49975"/>
    <s v="PNUD"/>
  </r>
  <r>
    <s v="Prevención de la TB/TB-DR"/>
    <x v="9"/>
    <n v="5"/>
    <x v="3"/>
    <s v="Prevención y Control de Infecciones que se transmiten por el aire con énfasis en TB."/>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Trabajadores de salud"/>
    <s v="Compra de Gabachas de tela para profesionales de laboratorio que realizan  baciloscopia."/>
    <s v="Lic. Rene Guevara"/>
    <s v="FM-L4"/>
    <x v="3"/>
    <s v="C/U"/>
    <n v="900"/>
    <n v="17.75"/>
    <n v="15975"/>
    <n v="900"/>
    <n v="17.75"/>
    <n v="15975"/>
    <n v="900"/>
    <n v="17.75"/>
    <n v="15975"/>
    <n v="0"/>
    <n v="0"/>
    <n v="0"/>
    <n v="0"/>
    <n v="0"/>
    <n v="0"/>
    <n v="47925"/>
    <s v="PNUD"/>
  </r>
  <r>
    <s v="Prevención de la TB/TB-DR"/>
    <x v="9"/>
    <n v="5"/>
    <x v="3"/>
    <s v="Prevención y Control de Infecciones que se transmiten por el aire con énfasis en TB."/>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Trabajadores de salud"/>
    <s v="Compra de Gabachas de tela para profesionales de laboratorio que realizan  baciloscopia."/>
    <s v="Lic. Rene Guevara"/>
    <s v="FM-L4"/>
    <x v="2"/>
    <s v="C/U"/>
    <n v="0"/>
    <n v="0"/>
    <n v="0"/>
    <n v="0"/>
    <n v="0"/>
    <n v="0"/>
    <n v="0"/>
    <n v="0"/>
    <n v="0"/>
    <n v="900"/>
    <n v="17.75"/>
    <n v="15975"/>
    <n v="900"/>
    <n v="17.75"/>
    <n v="15975"/>
    <n v="31950"/>
    <s v="PNUD"/>
  </r>
  <r>
    <s v="Prevención de la TB/TB-DR"/>
    <x v="9"/>
    <n v="5"/>
    <x v="3"/>
    <s v="Prevención y Control de Infecciones que se transmiten por el aire con énfasis en TB."/>
    <s v="Meta 4.1: Aumentar al menos en un 5% anual los establecimientos de salud aplicando medidas de control de infecciones en TB. "/>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Trabajadores de salud"/>
    <s v="Compra de Respirador  de filtrado con certificado NIOSH N95 o superior, con dos sujetadores elasticos , adaptación hermetica facial sin valvula"/>
    <s v="Lic. Rene Guevara"/>
    <s v="FM-L4"/>
    <x v="1"/>
    <s v="C/U"/>
    <n v="20000"/>
    <n v="0.4"/>
    <n v="8000"/>
    <n v="20000"/>
    <n v="0.4"/>
    <n v="8000"/>
    <n v="20000"/>
    <n v="0.4"/>
    <n v="8000"/>
    <m/>
    <n v="0"/>
    <n v="0"/>
    <m/>
    <n v="0"/>
    <n v="0"/>
    <n v="24000"/>
    <s v="MINSAL"/>
  </r>
  <r>
    <s v="Prevención de la TB/TB-DR"/>
    <x v="9"/>
    <n v="5"/>
    <x v="3"/>
    <s v="Prevención y Control de Infecciones que se transmiten por el aire con énfasis en TB."/>
    <s v="Meta 4.1: Aumentar al menos en un 5% anual los establecimientos de salud aplicando medidas de control de infecciones en TB. "/>
    <s v="4.1.   Implementar el plan nacional de control de infecciones de la tuberculosis en la red de servicios de salud."/>
    <s v="Porcentaje de establecimientos de salud en los que se readecuaron áreas de aislamiento para TB y aplican control de infecciones y medidas de bioseguridad"/>
    <s v="TB I-2 : Tasa de incidencia de TB por 100 000 habitantes."/>
    <s v="Trabajadores de salud"/>
    <s v="Compra de Respirador  de filtrado con certificado NIOSH N95 o superior, con dos sujetadores elasticos , adaptación hermetica facial sin valvula"/>
    <s v="Lic. Rene Guevara"/>
    <s v="FM-L4"/>
    <x v="2"/>
    <s v="C/U"/>
    <m/>
    <n v="0"/>
    <n v="0"/>
    <m/>
    <n v="0"/>
    <n v="0"/>
    <m/>
    <n v="0"/>
    <n v="0"/>
    <n v="37500"/>
    <n v="0.4"/>
    <n v="15000"/>
    <n v="37500"/>
    <n v="0.4"/>
    <n v="15000"/>
    <n v="30000"/>
    <s v="MINSAL"/>
  </r>
  <r>
    <s v="Prevención de la TB/TB-DR"/>
    <x v="9"/>
    <n v="5"/>
    <x v="3"/>
    <s v="Prevención y Control de Infecciones que se transmiten por el aire con énfasis en TB."/>
    <s v="Meta 4.1: Aumentar la capacidad instalada de al menos el 5% anual de áreas de aislamiento para el control de infecciones en TB."/>
    <s v="4.1.   Implementar el plan nacional de control de infecciones de la tuberculosis en la red de servicios de salud."/>
    <s v="Porcentaje de establecimientos de salud en los que se readecuaron áreas de aislamiento para TB y aplican control de infecciones y medidas de bioseguridad"/>
    <s v="TCP-6a Número de casos de tuberculosis (en todas sus formas) notificados entre privados de libertad"/>
    <s v="Trabajadores de salud"/>
    <s v="Compra equipo de protección personal y brindar acompañamiento para los trabajadores de salud (respiradores N95 y mascarillas )"/>
    <s v="Dr. Cristian Henriquez / Lic. Yanira Chita"/>
    <m/>
    <x v="0"/>
    <s v="C/U"/>
    <s v="1"/>
    <n v="15000"/>
    <n v="15000"/>
    <s v="1"/>
    <n v="15000"/>
    <n v="15000"/>
    <s v="1"/>
    <n v="15000"/>
    <n v="15000"/>
    <n v="1"/>
    <n v="5000"/>
    <n v="5000"/>
    <n v="1"/>
    <n v="5000"/>
    <n v="5000"/>
    <n v="55000"/>
    <s v="PNUD"/>
  </r>
  <r>
    <s v="Gestión de programas"/>
    <x v="7"/>
    <n v="11"/>
    <x v="2"/>
    <s v="Gestión y Administración"/>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instituciones del Sistema Nacional Integrado de Salud aplicando y operativizando la normativa en los establecimientos de salud"/>
    <s v="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
    <s v="Todas las poblaciones"/>
    <s v="Compra de insumos de papeleria para el funcionamiento de la UPTYER "/>
    <s v="Lic. Karla Sánchez"/>
    <s v="FM-L4"/>
    <x v="1"/>
    <s v="C/U"/>
    <n v="1"/>
    <n v="3407.5"/>
    <n v="3407.5"/>
    <n v="1"/>
    <n v="2870.8"/>
    <n v="2870.8"/>
    <n v="1"/>
    <n v="4553.5"/>
    <n v="4553.5"/>
    <m/>
    <m/>
    <n v="0"/>
    <m/>
    <m/>
    <n v="0"/>
    <n v="10831.8"/>
    <s v="MINSAL"/>
  </r>
  <r>
    <s v="Gestión de programas"/>
    <x v="7"/>
    <n v="11"/>
    <x v="2"/>
    <s v="Gestión y Administración"/>
    <s v="Meta 3.2: Operativizar la normativa institucional en prevención y control de TB en al menos el 90% de establecimientos del SNIS, y otros colaboradores en la lucha contra la TB."/>
    <s v="3.2- Fortalecer a los integrantes y colaboradores del Sistema Nacional Integrado de Salud, que proveen servicios de salud como ONG, organizaciones de la sociedad civil a través de políticas, estrategias y normativa institucional a nivel comunitario, con enfoque de interculturalidad; integrando el conocimiento a través de diálogos de saberes. "/>
    <s v="Porcentaje de instituciones del Sistema Nacional Integrado de Salud aplicando y operativizando la normativa en los establecimientos de salud"/>
    <s v="TBDT-3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
    <s v="Todas las poblaciones"/>
    <s v="Compra de insumos informaticos y equipo para el funcionamiento de la UPTYER "/>
    <s v="Lic. Karla Sánchez"/>
    <s v="FM-L4"/>
    <x v="1"/>
    <s v="C/U"/>
    <n v="1"/>
    <n v="13950"/>
    <n v="13950"/>
    <n v="1"/>
    <n v="19285.5"/>
    <n v="19285.5"/>
    <n v="1"/>
    <n v="22262"/>
    <n v="22262"/>
    <m/>
    <m/>
    <n v="0"/>
    <m/>
    <m/>
    <n v="0"/>
    <n v="55497.5"/>
    <s v="MINSAL"/>
  </r>
  <r>
    <s v="Eliminar los obstáculos relacionados con los derechos humanos y el género que dificultan el acceso a los servicios de tuberculosis"/>
    <x v="4"/>
    <n v="10"/>
    <x v="2"/>
    <s v="Movilización y abogacía con participación de la comunidad, incluido el apoyo a los grupos de personas afectados y que han superado la TB."/>
    <s v="Meta 3.3: Fortalecer la estrategia de ENGAGE TB integrando a más ONG/OSC y otros actores en actividades comunitarias para la prevención y control de la tuberculosis. "/>
    <s v="3.3- Continuar con la implementación de la estrategia ENGAGE TB de abordaje de control de la TB."/>
    <s v="Porcentaje de organizaciones no gubernamentales y otras organizaciones de la sociedad civil integradas en las actividades comunitarias de lucha contra la tuberculosis"/>
    <s v="TBDT-3a    _x000a_Porcentaje de pacientes notificados con todas las formas de _x000a_tuberculosis (esto es, confirmada bacteriológicamente + _x000a_diagnosticada clínicamente) aportados por proveedores ajenos al _x000a_programa nacional de tuberculosis – establecimientos privados o _x000a_no gubernamentales; *incluye únicamente pacientes nuevos y _x000a_recaídas. "/>
    <s v="Todas las poblaciones"/>
    <s v="Contratación de una empresa para el diseño,maquetación e impresión de  (1,200 rotafolios)"/>
    <s v="Lic. Daniel Castro"/>
    <s v="FM-L3"/>
    <x v="3"/>
    <s v="C/U"/>
    <s v="1"/>
    <n v="20000"/>
    <n v="20000"/>
    <s v="1"/>
    <n v="0"/>
    <n v="0"/>
    <n v="1"/>
    <n v="0"/>
    <n v="0"/>
    <n v="0"/>
    <n v="0"/>
    <n v="0"/>
    <n v="1"/>
    <n v="0"/>
    <n v="0"/>
    <n v="20000"/>
    <s v="PNUD"/>
  </r>
  <r>
    <s v="Colaboración con otros proveedores y sectores"/>
    <x v="8"/>
    <n v="3"/>
    <x v="3"/>
    <s v="Información y educación en TB, a la población, para disminuir barreras interculturales (pueblos indígenas)."/>
    <s v="Meta 4.2: Realizar al menos 3 estudios de investigación epidemiológica y/o operativa por parte del sector salud e instituciones formadoras de recursos humanos en salud"/>
    <s v="4.4- Desarrollo y generación de conocimiento en la atención integral de la tuberculosis y de la investigación científica."/>
    <s v="Número de investigaciones epidemiológicas y/o operativas desarrolladas por parte del SNIS e instituciones formadoras de recursos humanos en salud"/>
    <s v="TB I-2 : Tasa de incidencia de TB por 100 000 habitantes."/>
    <s v="Todas las poblaciones"/>
    <s v="Contratacion de una Institucion formadora de recursos para el desarrollo del Diplomado en Atencion Integral a la Tuberculosis. "/>
    <s v="Dr. Mario Soto"/>
    <s v="FM-L4"/>
    <x v="2"/>
    <s v="C/U"/>
    <n v="1"/>
    <n v="0"/>
    <n v="0"/>
    <n v="1"/>
    <n v="25000"/>
    <n v="25000"/>
    <n v="1"/>
    <n v="25000"/>
    <n v="25000"/>
    <m/>
    <n v="0"/>
    <n v="0"/>
    <m/>
    <n v="0"/>
    <n v="0"/>
    <n v="50000"/>
    <s v="PNUD"/>
  </r>
  <r>
    <s v="Colaboración con otros proveedores y sectores"/>
    <x v="8"/>
    <n v="3"/>
    <x v="3"/>
    <s v="Información y educación en TB, a la población, para disminuir barreras interculturales (pueblos indígenas)."/>
    <s v="Meta 4.2: Realizar al menos 3 estudios de investigación epidemiológica y/o operativa por parte del sector salud e instituciones formadoras de recursos humanos en salud"/>
    <s v="4.4- Desarrollo y generación de conocimiento en la atención integral de la tuberculosis y de la investigación científica."/>
    <s v="Número de investigaciones epidemiológicas y/o operativas desarrolladas por parte del SNIS e instituciones formadoras de recursos humanos en salud"/>
    <s v="TB I-2 : Tasa de incidencia de TB por 100 000 habitantes."/>
    <s v="Todas las poblaciones"/>
    <s v="Contratacion de una Institucion formadora de recursos para el desarrollo del Diplomado en Atencion Integral a la Tuberculosis."/>
    <s v="Dr. Mario Soto"/>
    <s v="FM-L4"/>
    <x v="2"/>
    <s v="C/U"/>
    <n v="0"/>
    <m/>
    <n v="0"/>
    <m/>
    <n v="0"/>
    <n v="0"/>
    <m/>
    <n v="0"/>
    <n v="0"/>
    <n v="1"/>
    <n v="25000"/>
    <n v="25000"/>
    <n v="1"/>
    <n v="25000"/>
    <n v="25000"/>
    <n v="50000"/>
    <s v="PNUD"/>
  </r>
  <r>
    <s v="Gestión de programas"/>
    <x v="7"/>
    <n v="3"/>
    <x v="3"/>
    <s v="Investigación sobre la temática de Tuberculosis."/>
    <s v="Meta 4.2: Realizar al menos 3 estudios de investigación epidemiológica y/o operativa por parte del sector salud e instituciones formadoras de recursos humanos en salud"/>
    <s v="4.6 Protección social a las familias afectadas por tuberculosis, con el fin de que la enfermedad no represente un costo catastrófico y DQR."/>
    <s v="Número de investigaciones epidemiológicas y/o operativas desarrolladas por parte del SNIS e instituciones formadoras de recursos humanos en salud"/>
    <s v="TB I-2 : Tasa de incidencia de TB por 100 000 habitantes."/>
    <s v="Todas las poblaciones"/>
    <s v="Contratacion de consultor, empresa o institucion para al elaboracion y ejecucion del estudio de costos catastroficos"/>
    <s v="Dr. Gilberto Ayala"/>
    <m/>
    <x v="3"/>
    <s v="C/U"/>
    <n v="1"/>
    <n v="45000"/>
    <n v="45000"/>
    <n v="1"/>
    <m/>
    <n v="0"/>
    <n v="0"/>
    <n v="0"/>
    <n v="0"/>
    <n v="0"/>
    <n v="0"/>
    <n v="0"/>
    <n v="1"/>
    <n v="0"/>
    <n v="0"/>
    <n v="45000"/>
    <s v="PNUD"/>
  </r>
  <r>
    <s v="Gestión de programas"/>
    <x v="7"/>
    <n v="3"/>
    <x v="3"/>
    <s v="Investigación sobre la temática de Tuberculosis."/>
    <s v="Meta 4.2: Realizar al menos 3 estudios de investigación epidemiológica y/o operativa por parte del sector salud e instituciones formadoras de recursos humanos en salud"/>
    <s v="4.6 Protección social a las familias afectadas por tuberculosis, con el fin de que la enfermedad no represente un costo catastrófico y DQR."/>
    <s v="Número de investigaciones epidemiológicas y/o operativas desarrolladas por parte del SNIS e instituciones formadoras de recursos humanos en salud"/>
    <s v="TB I-2 : Tasa de incidencia de TB por 100 000 habitantes."/>
    <s v="Todas las poblaciones"/>
    <s v="Contratacion de consultor, empresa o institucion para al elaboracion de Estudio de calidad del dato (DQR)"/>
    <s v="Dr. Cristian Henrique "/>
    <m/>
    <x v="2"/>
    <s v="C/U"/>
    <n v="1"/>
    <m/>
    <n v="0"/>
    <n v="1"/>
    <n v="90400"/>
    <n v="90400"/>
    <n v="0"/>
    <n v="0"/>
    <n v="0"/>
    <n v="0"/>
    <n v="0"/>
    <n v="0"/>
    <n v="1"/>
    <n v="0"/>
    <n v="0"/>
    <n v="90400"/>
    <s v="PNUD"/>
  </r>
  <r>
    <s v="Gestión de programas"/>
    <x v="7"/>
    <n v="2"/>
    <x v="3"/>
    <s v="Gestión y Administración"/>
    <s v="Meta 3.1: Aplicar la estrategia Fin de Tuberculosis en el 100% de los participantes del SNIS y otros proveedores de salud."/>
    <s v="4.4- Desarrollo y generación de conocimiento en la atención integral de la tuberculosis y de la investigación científica."/>
    <s v="Porcentaje de RRHH fortalecido en el abordaje intercultural de la tuberculosis"/>
    <s v="TB I-2 Tasa de incidencia de la tuberculosis por 100.000 habitantes."/>
    <s v="Todas las poblaciones"/>
    <s v="Compra de boletos aereos"/>
    <s v="Lic. Gilma de Romero"/>
    <s v="FM-L4"/>
    <x v="1"/>
    <s v="C/U"/>
    <n v="1"/>
    <n v="3108.5"/>
    <n v="3108.5"/>
    <n v="1"/>
    <n v="0"/>
    <n v="0"/>
    <n v="1"/>
    <n v="3108.5"/>
    <n v="3108.5"/>
    <n v="0"/>
    <n v="0"/>
    <n v="0"/>
    <n v="0"/>
    <n v="0"/>
    <n v="0"/>
    <n v="6217"/>
    <s v="MINSAL"/>
  </r>
  <r>
    <s v="Gestión de programas"/>
    <x v="7"/>
    <n v="2"/>
    <x v="3"/>
    <s v="Gestión y Administración"/>
    <s v="Meta 3.1: Aplicar la estrategia Fin de Tuberculosis en el 100% de los participantes del SNIS y otros proveedores de salud."/>
    <s v="4.4- Desarrollo y generación de conocimiento en la atención integral de la tuberculosis y de la investigación científica."/>
    <s v="Porcentaje de RRHH fortalecido en el abordaje intercultural de la tuberculosis"/>
    <s v="TB I-2 Tasa de incidencia de la tuberculosis por 100.000 habitantes."/>
    <s v="Todas las poblaciones"/>
    <s v="Inscripciones viaticos y otros"/>
    <s v="Lic. Gilma de Romero"/>
    <s v="FM-L4"/>
    <x v="1"/>
    <s v="C/U"/>
    <n v="1"/>
    <n v="3108.5"/>
    <n v="3108.5"/>
    <n v="1"/>
    <n v="0"/>
    <n v="0"/>
    <n v="1"/>
    <n v="3108.5"/>
    <n v="3108.5"/>
    <m/>
    <m/>
    <n v="0"/>
    <m/>
    <m/>
    <n v="0"/>
    <n v="6217"/>
    <s v="MINSAL"/>
  </r>
  <r>
    <s v="Gestión de programas"/>
    <x v="7"/>
    <n v="7"/>
    <x v="4"/>
    <s v="Gestión y Administración"/>
    <s v="Meta 1: Detectar al menos el 90% de la incidencia de TB estimados por la OMS."/>
    <s v="3. Fortalecer el uso eficiente de los recursos existentes (eficiencia) "/>
    <s v="Tasa de incidencia de tuberculosis por cada 100,000 habitantes (&amp;)"/>
    <s v="TB I-2 Tasa de incidencia de la tuberculosis por 100.000 habitantes."/>
    <s v="Todas las poblaciones"/>
    <s v="Servicios de desaduanajes, fletes, seguros de bienes, y otros gastos relacionados por compras a traves del PNUD PAGO DE OVERHEAD PNUD_x000a_PAGO DE ISSS A PNUD"/>
    <s v="UPCTYER"/>
    <s v="FM-L5"/>
    <x v="1"/>
    <s v="C/U"/>
    <n v="1"/>
    <n v="0"/>
    <n v="8629.4"/>
    <n v="1"/>
    <n v="0"/>
    <n v="5376.8"/>
    <n v="1"/>
    <n v="0"/>
    <n v="5376.8"/>
    <n v="1"/>
    <n v="0"/>
    <n v="0"/>
    <n v="1"/>
    <n v="0"/>
    <n v="0"/>
    <n v="19383"/>
    <s v="PNUD"/>
  </r>
  <r>
    <s v="Gestión de programas"/>
    <x v="7"/>
    <n v="7"/>
    <x v="4"/>
    <s v="Gestión y Administración"/>
    <s v="Meta 5.1: Aumentar en al menos el 5% el gasto doméstico para dar respuesta a la lucha contra la tuberculosis."/>
    <s v="3. Fortalecer el uso eficiente de los recursos existentes (eficiencia) "/>
    <s v="Tasa de incidencia de tuberculosis por cada 100,000 habitantes (&amp;)"/>
    <s v="TB O-2a Tasa de éxito del tratamiento en todas las formas de tuberculosis, confirmada bacteriológicamente y con diagnóstico clínico, casos nuevos y recaídas."/>
    <s v="Todas las poblaciones"/>
    <s v="Servicios de desaduanajes, fletes, seguros de bienes, y otros gastos relacionados por compras a traves de OPS. PAGO DE OVERHEAD A OPS"/>
    <s v="UPCTYER"/>
    <s v="FM-L5"/>
    <x v="1"/>
    <s v="C/U"/>
    <n v="1"/>
    <n v="0"/>
    <n v="60793.899400000002"/>
    <n v="1"/>
    <n v="0"/>
    <n v="100692.64920000001"/>
    <n v="1"/>
    <n v="0"/>
    <n v="45276.688600000001"/>
    <n v="1"/>
    <n v="0"/>
    <n v="0"/>
    <n v="1"/>
    <n v="0"/>
    <n v="0"/>
    <n v="206763.2372"/>
    <s v="OPS"/>
  </r>
  <r>
    <s v="Gestión de programas"/>
    <x v="7"/>
    <n v="7"/>
    <x v="4"/>
    <s v="Gestión y Administración"/>
    <s v="Meta 1: Detectar al menos el 90% de la incidencia de TB estimados por la OMS."/>
    <s v="3. Fortalecer el uso eficiente de los recursos existentes (eficiencia) "/>
    <s v="Tasa de incidencia de tuberculosis por cada 100,000 habitantes (&amp;)"/>
    <s v="TB I-2 Tasa de incidencia de la tuberculosis por 100.000 habitantes."/>
    <s v="Todas las poblaciones"/>
    <s v="Servicios de desaduanajes, fletes, seguros de bienes, y otros gastos relacionados por compras a traves del PNUD PAGO DE OVERHEAD PNUD_x000a_PAGO DE ISSS A PNUD"/>
    <s v="UPCTYER"/>
    <s v="FM-L5"/>
    <x v="3"/>
    <s v="C/U"/>
    <n v="1"/>
    <n v="0"/>
    <n v="40041.950000000004"/>
    <n v="1"/>
    <n v="0"/>
    <n v="27886.95"/>
    <n v="1"/>
    <n v="0"/>
    <n v="30187.3"/>
    <m/>
    <n v="10407.449999999999"/>
    <n v="0"/>
    <m/>
    <n v="12018"/>
    <n v="0"/>
    <n v="98116.200000000012"/>
    <s v="PNUD"/>
  </r>
  <r>
    <s v="Gestión de programas"/>
    <x v="7"/>
    <n v="7"/>
    <x v="4"/>
    <s v="Gestión y Administración"/>
    <s v="Meta 5.1: Aumentar en al menos el 5% el gasto doméstico para dar respuesta a la lucha contra la tuberculosis."/>
    <s v="3. Fortalecer el uso eficiente de los recursos existentes (eficiencia) "/>
    <s v="Tasa de incidencia de tuberculosis por cada 100,000 habitantes (&amp;)"/>
    <s v="TB O-2a Tasa de éxito del tratamiento en todas las formas de tuberculosis, confirmada bacteriológicamente y con diagnóstico clínico, casos nuevos y recaídas."/>
    <s v="Todas las poblaciones"/>
    <s v="Servicios de desaduanajes, fletes, seguros de bienes, y otros gastos relacionados por compras a traves de OPS. PAGO DE OVERHEAD A OPS"/>
    <s v="UPCTYER"/>
    <s v="FM-L5"/>
    <x v="3"/>
    <s v="C/U"/>
    <n v="1"/>
    <n v="0"/>
    <n v="19279"/>
    <n v="1"/>
    <n v="0"/>
    <m/>
    <n v="1"/>
    <n v="0"/>
    <n v="0"/>
    <n v="0"/>
    <n v="0"/>
    <n v="0"/>
    <n v="0"/>
    <n v="0"/>
    <n v="0"/>
    <n v="19279"/>
    <s v="OPS"/>
  </r>
  <r>
    <s v="Gestión de programas"/>
    <x v="7"/>
    <n v="11"/>
    <x v="3"/>
    <s v="Gestión y Administración"/>
    <s v="4.4 Reporte de información de vigilancia epidemiológica por el 100 % de las instituciones que integran el SNIS"/>
    <s v="2.8 Mejora de la calidad y enfoques de los Programas y la prestación de los servicios"/>
    <s v="Tasa de incidencia de tuberculosis por cada 100,000 habitantes (&amp;)"/>
    <s v="TB I-2 : Tasa de incidencia de TB por 100 000 habitantes."/>
    <s v="Todas las poblaciones"/>
    <s v="Gastos de caja chica"/>
    <s v="Lic. Gilma de Romero"/>
    <s v="FM-L4"/>
    <x v="1"/>
    <s v="C/U"/>
    <n v="12"/>
    <n v="158.94200000000001"/>
    <n v="1907.3040000000001"/>
    <n v="12"/>
    <n v="158.94120000000001"/>
    <n v="1907.2944000000002"/>
    <n v="12"/>
    <n v="158.94120000000001"/>
    <n v="1907.2944000000002"/>
    <m/>
    <m/>
    <n v="0"/>
    <m/>
    <m/>
    <n v="0"/>
    <n v="5721.8928000000005"/>
    <s v="MINSAL"/>
  </r>
  <r>
    <s v="Gestión de programas"/>
    <x v="7"/>
    <n v="3"/>
    <x v="1"/>
    <s v="Vigilancia continua de la farmacorresistencia en PPL con pruebas moleculares al 100% de personas con TB presuntiva."/>
    <s v="Meta 2.3: Cobertura de pacientes con TB con resultados de sensibilidad a medicamentos de segunda línea del 100%. "/>
    <s v="2.2.- Acceso universal a pruebas de sensibilidad; tamizaje sistemático de los contactos y grupos de alto riesgo para la TB-Drogorresistente."/>
    <s v="Porcentaje de casos de TB con resultados de pruebas de sensibilidad a drogas (PSD) al menos para Rifampicina, entre el número total de casos notificados (nuevos y previamente tratados) en el mismo año"/>
    <s v="DRTB-6: Porcentaje de pacientes con tuberculosis y con resultado de PSF a la rifampicina entre el número total de pacientes notificados (nuevos y en retratamiento) durante el período de reporte."/>
    <s v="Todas las poblaciones"/>
    <s v="Pago Comité Luz Verde"/>
    <s v="Lic. Karla Sánchez"/>
    <s v="FM-L2"/>
    <x v="1"/>
    <s v="C/U"/>
    <s v="1"/>
    <n v="25000"/>
    <n v="25000"/>
    <s v="1"/>
    <n v="25000"/>
    <n v="25000"/>
    <s v="1"/>
    <n v="25000"/>
    <n v="25000"/>
    <m/>
    <m/>
    <n v="0"/>
    <m/>
    <m/>
    <n v="0"/>
    <n v="75000"/>
    <s v="OPS"/>
  </r>
  <r>
    <s v="Colaboración con otros proveedores y sectores"/>
    <x v="8"/>
    <n v="2"/>
    <x v="2"/>
    <s v="Involucramiento de otros proveedores no PNT en la atención de la TB (Observatorio TB, ONG/OSC, proveedores de salud privados, gobiernos municipales, sector académico)."/>
    <s v="Aplicar la estrategia Fin de Tuberculosis en el 100% de los participantes del SNIS y otros proveedores de salud."/>
    <s v="Fortalecer la integración de todos los actores del Sistema Nacional Integrado de Salud, colaboradores del sistema y de otros actores que proveen servicios de salud; ONG’s, organizaciones de la sociedad civil a través de políticas intersectoriales a  nivel comunitario e iniciativas como ENGAGE TB y Grandes Ciudades. "/>
    <s v="Porcentaje de servicios del Sistema Nacional Integrado de Salud, centros penales y organizaciones de la sociedad civil operativizando la Estrategia Fin de la TB"/>
    <s v="Porcentaje de servicios del Sistema Nacional Integrado de Salud, Centros Penales y organizaciones de la sociedad civil operativizando la Estrategia Fin de la TB"/>
    <s v="Todas las poblaciones"/>
    <s v="Reuniones de comité de Docencia - 8 reuniones al año"/>
    <s v="Lic. Daniel Castro"/>
    <s v="Universidades que Conforman el Comité Nacional de Docencia"/>
    <x v="4"/>
    <s v="Por Persona"/>
    <n v="8"/>
    <n v="1568.64"/>
    <n v="12549.12"/>
    <n v="8"/>
    <n v="1568.64"/>
    <n v="12549.12"/>
    <n v="8"/>
    <n v="1568.64"/>
    <n v="12549.12"/>
    <n v="8"/>
    <n v="1568.64"/>
    <n v="12549.12"/>
    <n v="8"/>
    <n v="1568.64"/>
    <n v="12549.12"/>
    <n v="62745.600000000006"/>
    <s v="UNIVERSIDADES"/>
  </r>
  <r>
    <s v="Diagnóstico, tratamiento y atención de la TB"/>
    <x v="10"/>
    <n v="1"/>
    <x v="0"/>
    <s v="Diagnóstico de la TB Sensible y DR/ pruebas de sensibilidad a los fármacos."/>
    <s v="META 1. Detectar al menos el 90% de la incidencia de casos de TB estimados por la OMS."/>
    <s v="1.2 Detectar precozmente casos de tuberculosis sensibles y resistente priorizando a los grupos vulnerables (PPL, trabajadores de salud, población infantil, adultos con enfermedades crónicas no trasmisibles, población migrantes, seguimiento de los contactos entre otros)."/>
    <s v="Tasa de incidencia de tuberculosis por cada 100,000 habitantes (&amp;)"/>
    <s v="TB I-2 : Tasa de incidencia de TB por 100 000 habitantes."/>
    <s v="Todas las poblaciones"/>
    <s v="Asignación de funciones a recursos humanos para la preveción, control y M&amp;E de la TB"/>
    <s v="Lic. Gilma de Romero"/>
    <s v="FS,7"/>
    <x v="5"/>
    <s v="Por Persona"/>
    <n v="1"/>
    <n v="338122.02"/>
    <n v="338122.02"/>
    <n v="1"/>
    <n v="338122.02"/>
    <n v="338122.02"/>
    <n v="1"/>
    <n v="338122.02"/>
    <n v="338122.02"/>
    <n v="1"/>
    <n v="355028.12"/>
    <n v="355028.12"/>
    <n v="1"/>
    <n v="372779.52000000002"/>
    <n v="372779.52000000002"/>
    <n v="1742173.7000000002"/>
    <s v="FOSALUD"/>
  </r>
  <r>
    <s v="Diagnóstico, tratamiento y atención de la TB"/>
    <x v="10"/>
    <n v="1"/>
    <x v="1"/>
    <s v="Diagnóstico de la TB Sensible y DR/ pruebas de sensibilidad a los fármacos."/>
    <s v="Meta 2.1: Cobertura de tratamiento para Tuberculosis activa ≥90%. "/>
    <s v="5.2-Incrementar la financiación doméstica para la respuesta a la tuberculosis (financiación)."/>
    <s v="Porcentaje de gastos en prevención y control de la tuberculosis por el MINSAL, en relación al gasto público total"/>
    <s v="TB O-2a Tasa de éxito del tratamiento en todas las formas de tuberculosis, confirmada bacteriológicamente y con diagnóstico clínico, casos nuevos y recaídas."/>
    <s v="Todas las poblaciones"/>
    <s v="Pago de salarios y prestaciones de ley a personal de salud que brindan atenciones ambulatoria, atenciones hospitalarias, apoyo vital a clientes/población con sospecha o diagnosticada con TB, personal técnico y administrativo del Programa y MINSAL."/>
    <s v="Lic. Gilma de Romero"/>
    <s v="MINSAL "/>
    <x v="0"/>
    <s v="C/U"/>
    <n v="1"/>
    <n v="5699895.0500000007"/>
    <n v="5699895.0500000007"/>
    <n v="1"/>
    <n v="5984889.8025000012"/>
    <n v="5984889.8025000012"/>
    <n v="1"/>
    <n v="6284134.2926250016"/>
    <n v="6284134.2926250016"/>
    <n v="1"/>
    <n v="6598341.0072562518"/>
    <n v="6598341.0072562518"/>
    <n v="1"/>
    <n v="6928258.057619065"/>
    <n v="6928258.057619065"/>
    <n v="31495518.210000321"/>
    <s v="MINSAL"/>
  </r>
  <r>
    <s v="Diagnóstico, tratamiento y atención de la TB"/>
    <x v="10"/>
    <n v="4"/>
    <x v="1"/>
    <s v="Tamizaje, diagnóstico y control del tratamiento de la tuberculosis"/>
    <s v="Meta 2.1: Cobertura de tratamiento para Tuberculosis activa ≥90%. "/>
    <s v="2.5-Proporcionar tratamiento oportuno a todas las personas con TB sensible y drogorresistente para alcanzar la curación."/>
    <s v="Porcentaje de gastos en prevención y control de la tuberculosis por el MINSAL, en relación al gasto público total"/>
    <s v="TB O-2a Tasa de éxito del tratamiento en todas las formas de tuberculosis, confirmada bacteriológicamente y con diagnóstico clínico, casos nuevos y recaídas."/>
    <s v="Todas las poblaciones"/>
    <s v="Compra de productos farmaceuticos, medicamentos, insumos médicos y pruebas diagnóstico."/>
    <s v="Lic. Gilma de Romero"/>
    <s v="MINSAL "/>
    <x v="0"/>
    <s v="C/U"/>
    <n v="1"/>
    <n v="4674279.54"/>
    <n v="4674279.54"/>
    <n v="1"/>
    <n v="4767765.1308000004"/>
    <n v="4767765.1308000004"/>
    <n v="1"/>
    <n v="4863120.4334160006"/>
    <n v="4863120.4334160006"/>
    <n v="1"/>
    <n v="4960382.8420843203"/>
    <n v="4960382.8420843203"/>
    <n v="1"/>
    <n v="5059590.4989260072"/>
    <n v="5059590.4989260072"/>
    <n v="24325138.445226327"/>
    <s v="MINSAL"/>
  </r>
  <r>
    <s v="Diagnóstico, tratamiento y atención de la TB"/>
    <x v="1"/>
    <n v="6"/>
    <x v="1"/>
    <s v="Detección de casos, diagnóstico, tratamiento y la prevención de las tuberculosis dirigidas específicamente a niños y adolescentes."/>
    <s v="META 1. Detectar al menos el 90% de la incidencia de casos de TB estimados por la OMS."/>
    <s v="Detección de casos, diagnóstico, tratamiento y la prevención de las tuberculosis dirigidas específicamente a niños y adolescentes."/>
    <s v="Tasa de incidencia de tuberculosis por cada 100,000 habitantes (&amp;)"/>
    <s v="TB I-2 : Tasa de incidencia de TB por 100 000 habitantes."/>
    <s v="Contactos de personas con TB y personas con VIH"/>
    <s v="Compra de  biológico PPD."/>
    <s v="Dr. Mario Soto"/>
    <s v="MINSAL "/>
    <x v="0"/>
    <s v="C/U"/>
    <n v="1"/>
    <n v="25875"/>
    <n v="25875"/>
    <n v="1"/>
    <n v="26392.5"/>
    <n v="26392.5"/>
    <n v="1"/>
    <n v="26920.350000000002"/>
    <n v="26920.350000000002"/>
    <n v="1"/>
    <n v="27458.757000000001"/>
    <n v="27458.757000000001"/>
    <n v="1"/>
    <n v="28007.932140000001"/>
    <n v="28007.932140000001"/>
    <n v="134654.53914000001"/>
    <s v="OPS"/>
  </r>
  <r>
    <s v="Poblaciones clave y vulnerables – TB/TB-DR"/>
    <x v="0"/>
    <n v="4"/>
    <x v="0"/>
    <s v="Descarte de la TB activa y latente para la administración de tratamiento a la enfermedad activa e ILTB en 100% de PPL en aquellos que son elegibles."/>
    <s v="Meta 2.1: Cobertura de tratamiento para Tuberculosis activa ≥90%. "/>
    <s v="1.5-Tratamiento centrado en las necesidades de los usuarios, con atención integral a las comorbilidades, como enfermedades no transmisibles, salud mental y apoyo psicosocial."/>
    <s v="TBDT - other -1: Porcentaje de casos todas las formas de TB entre PPL tratados exitosamente entre el total de casos todas las formas notificadas en el periodo de reporte"/>
    <s v="TBDT - other -1: Porcentaje de casos todas las formas de TB entre PPL tratados exitosamente entre el total de casos todas las formas notificadas en el periodo de reporte"/>
    <s v="Población de riesgo Privados de Libertad. (PPL)"/>
    <s v="Compra de  medicamentos antifimicos: primera linea para población de riesgo Privados de Libertad. (PPL)"/>
    <s v="Dr. Mario Soto"/>
    <s v="MINSAL "/>
    <x v="0"/>
    <s v="C/U"/>
    <n v="3319"/>
    <n v="35.904000000000003"/>
    <n v="119165.37600000002"/>
    <n v="3405"/>
    <n v="35.904000000000003"/>
    <n v="122253.12000000001"/>
    <n v="3655"/>
    <n v="39.6"/>
    <n v="144738"/>
    <n v="2420"/>
    <n v="39.6"/>
    <n v="95832"/>
    <n v="1735"/>
    <n v="42.35"/>
    <n v="73477.25"/>
    <n v="555465.74600000004"/>
    <s v="OPS"/>
  </r>
  <r>
    <s v="Poblaciones clave y vulnerables – TB/TB-DR"/>
    <x v="0"/>
    <n v="4"/>
    <x v="0"/>
    <s v="Descarte de la TB activa y latente para la administración de tratamiento a la enfermedad activa e ILTB en 100% de PPL en aquellos que son elegibles."/>
    <s v="Meta 2.1: Cobertura de tratamiento para Tuberculosis activa ≥90%. "/>
    <s v="2.5-Proporcionar tratamiento oportuno a todas las personas con TB sensible y drogorresistente para alcanzar la curación."/>
    <s v="TB O-4⁽ᴹ⁾ Tasa de éxito del tratamiento de los casos de tuberculosis resistente a la rifampicina y/o tuberculosis multirresistente: Porcentaje de casos de tuberculosis resistente a la rifampicina y/o tuberculosis multirresistente tratados con éxito."/>
    <s v="TB O-4⁽ᴹ⁾ Tasa de éxito del tratamiento de los casos de tuberculosis resistente a la rifampicina y/o tuberculosis multirresistente: Porcentaje de casos de tuberculosis resistente a la rifampicina y/o tuberculosis multirresistente tratados con éxito."/>
    <s v="Poblacione de riesgo privados de libertad. (PPL)"/>
    <s v="Compra de  medicamentos antifimicos: Segunda línea para población de Riesgo PPL; para tratamiento de TB DR."/>
    <s v="Dr. Mario Soto"/>
    <s v="MINSAL "/>
    <x v="0"/>
    <s v="C/U"/>
    <n v="1"/>
    <n v="37164.74"/>
    <n v="37164.74"/>
    <n v="1"/>
    <n v="37794.720000000001"/>
    <n v="37794.720000000001"/>
    <n v="1"/>
    <n v="39684.46"/>
    <n v="39684.46"/>
    <n v="1"/>
    <n v="30235.78"/>
    <n v="30235.78"/>
    <n v="1"/>
    <n v="25196.48"/>
    <n v="25196.48"/>
    <n v="170076.18"/>
    <s v="OPS"/>
  </r>
  <r>
    <s v="Poblaciones clave y vulnerables – TB/TB-DR"/>
    <x v="2"/>
    <n v="4"/>
    <x v="0"/>
    <s v="Tratamiento, atención y apoyo para las personas afectadas por TB-DR"/>
    <s v="Meta 2.1: Cobertura de tratamiento para Tuberculosis activa ≥90%. "/>
    <s v="2.5-Proporcionar tratamiento oportuno a todas las personas con TB sensible y drogorresistente para alcanzar la curación."/>
    <s v="TB O-4⁽ᴹ⁾ Tasa de éxito del tratamiento de los casos de tuberculosis resistente a la rifampicina y/o tuberculosis multirresistente: Porcentaje de casos de tuberculosis resistente a la rifampicina y/o tuberculosis multirresistente tratados con éxito."/>
    <s v="TB O-4⁽ᴹ⁾ Tasa de éxito del tratamiento de los casos de tuberculosis resistente a la rifampicina y/o tuberculosis multirresistente: Porcentaje de casos de tuberculosis resistente a la rifampicina y/o tuberculosis multirresistente tratados con éxito."/>
    <s v="Población General; para tratamiento de TB DR."/>
    <s v="Compra de  medicamentos antifimicos: Segunda línea para población General; para tratamiento de TB DR."/>
    <s v="Dr. Mario Soto"/>
    <s v="MINSAL "/>
    <x v="0"/>
    <s v="C/U"/>
    <n v="11.8"/>
    <n v="787.38864406779658"/>
    <n v="9291.1859999999997"/>
    <n v="12"/>
    <n v="787.39"/>
    <n v="9448.68"/>
    <n v="12.600000000000001"/>
    <n v="787.39"/>
    <n v="9921.1140000000014"/>
    <n v="9.6000000000000014"/>
    <n v="787.39"/>
    <n v="7558.9440000000013"/>
    <n v="8"/>
    <n v="787.39"/>
    <n v="6299.12"/>
    <n v="42519.044000000009"/>
    <s v="OPS"/>
  </r>
  <r>
    <s v="Poblaciones clave y vulnerables – TB/TB-DR"/>
    <x v="0"/>
    <n v="4"/>
    <x v="0"/>
    <s v="Descarte de la TB activa y latente para la administración de tratamiento a la enfermedad activa e ILTB en 100% de PPL en aquellos que son elegibles."/>
    <s v="Meta 1.5: Disminuir al menos el 50% de la incidencia de casos de TB todas las formas en población privada de libertad. "/>
    <s v="1.5-Tratamiento centrado en las necesidades de los usuarios, con atención integral a las comorbilidades, como enfermedades no transmisibles, salud mental y apoyo psicosocial."/>
    <s v="TBP - Other 2: porcentaje de personas privadas de libertad elegibles que iniciaron tratamiento preventivo contra la Tuberculosis (Indicador Contractual para FM"/>
    <s v="TBP - Other 2: porcentaje de personas privadas de libertad elegibles que iniciaron tratamiento preventivo contra la Tuberculosis (Indicador Contractual para FM"/>
    <s v="para población de Riesgo PPL."/>
    <s v="Compra de  medicamentos antifimicos: medicamentos para TPT. para población de Riesgo PPL."/>
    <s v="Dr. Mario Soto"/>
    <m/>
    <x v="1"/>
    <s v="C/U"/>
    <n v="0"/>
    <m/>
    <n v="0"/>
    <n v="19729"/>
    <n v="19.100000000000001"/>
    <n v="376823.9"/>
    <n v="0"/>
    <n v="0"/>
    <n v="0"/>
    <n v="0"/>
    <n v="0"/>
    <n v="0"/>
    <n v="0"/>
    <n v="0"/>
    <n v="0"/>
    <n v="376823.9"/>
    <s v="OPS"/>
  </r>
  <r>
    <s v="Poblaciones clave y vulnerables – TB/TB-DR"/>
    <x v="0"/>
    <n v="4"/>
    <x v="0"/>
    <s v="Descarte de la TB activa y latente para la administración de tratamiento a la enfermedad activa e ILTB en 100% de PPL en aquellos que son elegibles."/>
    <s v="Meta 1.5: Disminuir al menos el 50% de la incidencia de casos de TB todas las formas en población privada de libertad. "/>
    <s v="1.5-Tratamiento centrado en las necesidades de los usuarios, con atención integral a las comorbilidades, como enfermedades no transmisibles, salud mental y apoyo psicosocial."/>
    <s v="TBP - Other 2: porcentaje de personas privadas de libertad elegibles que iniciaron tratamiento preventivo contra la Tuberculosis (Indicador Contractual para FM"/>
    <s v="TBP - Other 2: porcentaje de personas privadas de libertad elegibles que iniciaron tratamiento preventivo contra la Tuberculosis (Indicador Contractual para FM"/>
    <s v="para población de Riesgo PPL."/>
    <s v="Compra de  medicamentos antifimicos: medicamentos para TPT. para población de Riesgo PPL."/>
    <s v="Dr. Mario Soto"/>
    <m/>
    <x v="2"/>
    <s v="C/U"/>
    <n v="0"/>
    <m/>
    <n v="0"/>
    <n v="20271"/>
    <n v="19.100000000000001"/>
    <n v="387176.10000000003"/>
    <n v="0"/>
    <n v="0"/>
    <n v="0"/>
    <n v="0"/>
    <n v="0"/>
    <n v="0"/>
    <n v="0"/>
    <n v="0"/>
    <n v="0"/>
    <n v="387176.10000000003"/>
    <s v="OPS"/>
  </r>
  <r>
    <s v="TB/VIH"/>
    <x v="11"/>
    <n v="4"/>
    <x v="0"/>
    <s v="Tratamiento y atención a las personas afectadas por la coinfección TB/VIH"/>
    <s v="Meta 2.1: Cobertura de tratamiento para Tuberculosis activa ≥90%. "/>
    <s v="1.5-Tratamiento centrado en las necesidades de los usuarios, con atención integral a las comorbilidades, como enfermedades no transmisibles, salud mental y apoyo psicosocial."/>
    <s v="TB O-2a: Tasa de éxito del tratamiento en todas las formas de tuberculosis- confirmados bacteriológicamente y con diagnóstico clínico, casos nuevos y recaídas"/>
    <s v="TB O-2a: Tasa de éxito del tratamiento en todas las formas de tuberculosis- confirmados bacteriológicamente y con diagnóstico clínico, casos nuevos y recaídas"/>
    <s v="Personas con VIH"/>
    <s v="Compra de  medicamentos antifimicos: primera linea para poblaciones de más alto riesgo persona con VIH "/>
    <s v="Dr. Mario Soto"/>
    <s v="MINSAL "/>
    <x v="0"/>
    <s v="C/U"/>
    <n v="340"/>
    <n v="35.9"/>
    <n v="12206"/>
    <n v="340"/>
    <n v="35.9"/>
    <n v="12206"/>
    <n v="340"/>
    <n v="39.6"/>
    <n v="13464"/>
    <n v="340"/>
    <n v="39.6"/>
    <n v="13464"/>
    <n v="340"/>
    <n v="39.6"/>
    <n v="13464"/>
    <n v="64804"/>
    <s v="OPS"/>
  </r>
  <r>
    <s v="Diagnóstico, tratamiento y atención de la TB"/>
    <x v="10"/>
    <n v="4"/>
    <x v="1"/>
    <s v="Tamizaje, diagnóstico y control del tratamiento de la tuberculosis"/>
    <s v="Meta 2.1: Cobertura de tratamiento para Tuberculosis activa ≥90%. "/>
    <s v="2.5-Proporcionar tratamiento oportuno a todas las personas con TB sensible y drogorresistente para alcanzar la curación."/>
    <s v="TB O-2a: Tasa de éxito del tratamiento en todas las formas de tuberculosis- confirmados bacteriológicamente y con diagnóstico clínico, casos nuevos y recaídas"/>
    <s v="TB O-2a: Tasa de éxito del tratamiento en todas las formas de tuberculosis- confirmados bacteriológicamente y con diagnóstico clínico, casos nuevos y recaídas"/>
    <s v="para población General y otras poblaciones de riesgo"/>
    <s v="Compra de  medicamentos antifimicos: primera linea para población General y otras poblaciones de riesgo"/>
    <s v="Dr. Mario Soto"/>
    <s v="MINSAL "/>
    <x v="0"/>
    <s v="C/U"/>
    <n v="1252"/>
    <n v="35.9"/>
    <n v="44946.799999999996"/>
    <n v="1256"/>
    <n v="35.9"/>
    <n v="45090.400000000001"/>
    <n v="1261"/>
    <n v="39.6"/>
    <n v="49935.6"/>
    <n v="1266"/>
    <n v="39.6"/>
    <n v="50133.599999999999"/>
    <n v="1272"/>
    <n v="39.6"/>
    <n v="50371.200000000004"/>
    <n v="240477.6"/>
    <s v="OPS"/>
  </r>
  <r>
    <s v="TB/VIH"/>
    <x v="11"/>
    <n v="4"/>
    <x v="0"/>
    <s v="Tratamiento y atención a las personas afectadas por la coinfección TB/VIH"/>
    <s v="Meta 1.6: Cobertura de TPT de personas que viven con el VIH actualmente inscritas en el tratamiento antirretroviral que iniciaron el tratamiento preventivo de la tuberculosis durante el período de reporte de al menos 10%."/>
    <s v="1.5-Tratamiento centrado en las necesidades de los usuarios, con atención integral a las comorbilidades, como enfermedades no transmisibles, salud mental y apoyo psicosocial."/>
    <s v="TB/HIV-7.1 Porcentaje de personas que viven con el VIH actualmente inscritas en el tratamiento antirretroviral que iniciaron el tratamiento preventivo de la tuberculosis durante el período de reporte"/>
    <s v="TB/HIV-7.1 Porcentaje de personas que viven con el VIH actualmente inscritas en el tratamiento antirretroviral que iniciaron el tratamiento preventivo de la tuberculosis durante el período de reporte"/>
    <s v="para poblaciones de más alto riesgo persona con VIH "/>
    <s v="Compra de  medicamentos antifimicos: medicamentos para TPT. para poblaciones de más alto riesgo persona con VIH "/>
    <s v="Dr. Mario Soto"/>
    <s v="MINSAL "/>
    <x v="0"/>
    <s v="C/U"/>
    <n v="2000"/>
    <n v="19.100000000000001"/>
    <n v="38200"/>
    <n v="2000"/>
    <n v="19.100000000000001"/>
    <n v="38200"/>
    <n v="2000"/>
    <n v="19.100000000000001"/>
    <n v="38200"/>
    <n v="2000"/>
    <n v="19.100000000000001"/>
    <n v="38200"/>
    <n v="2000"/>
    <n v="19.100000000000001"/>
    <n v="38200"/>
    <n v="191000"/>
    <s v="OPS"/>
  </r>
  <r>
    <s v="Poblaciones clave y vulnerables – TB/TB-DR"/>
    <x v="2"/>
    <n v="4"/>
    <x v="0"/>
    <s v="Detección de casos, diagnóstico, tratamiento y la prevención de las tuberculosis dirigidas específicamente a niños y adolescentes"/>
    <s v="Meta 2.1: Cobertura de tratamiento para Tuberculosis activa ≥90%. "/>
    <s v="1.5-Tratamiento centrado en las necesidades de los usuarios, con atención integral a las comorbilidades, como enfermedades no transmisibles, salud mental y apoyo psicosocial."/>
    <s v="TBP - Other 2: porcentaje de personas privadas de libertad elegibles que iniciaron tratamiento preventivo contra la Tuberculosis (Indicador Contractual para FM"/>
    <s v="TBP - Other 2: porcentaje de personas privadas de libertad elegibles que iniciaron tratamiento preventivo contra la Tuberculosis (Indicador Contractual para FM"/>
    <s v="para otras poblaciones de riesgo y contactos"/>
    <s v="Compra de  medicamentos antifimicos: medicamentos para TPT. para otras poblaciones de riesgo y contactos"/>
    <s v="Dr. Mario Soto"/>
    <s v="MINSAL "/>
    <x v="0"/>
    <s v="C/U"/>
    <n v="1000"/>
    <n v="19.100000000000001"/>
    <n v="19100"/>
    <n v="1000"/>
    <n v="19.100000000000001"/>
    <n v="19100"/>
    <n v="1000"/>
    <n v="19.100000000000001"/>
    <n v="19100"/>
    <n v="1000"/>
    <n v="19.100000000000001"/>
    <n v="19100"/>
    <n v="1000"/>
    <n v="19.100000000000001"/>
    <n v="19100"/>
    <n v="95500"/>
    <s v="OPS"/>
  </r>
  <r>
    <s v="Colaboración con otros proveedores y sectores"/>
    <x v="8"/>
    <n v="2"/>
    <x v="5"/>
    <s v="Desarrollo de estrategia, políticas y reglamentos del sector de salud nacional"/>
    <s v="Meta 5.1: Aumentar en al menos el 5% el gasto doméstico para dar respuesta a la lucha contra la tuberculosis. (antes Meta 12)"/>
    <s v="5.2-Incrementar la financiación doméstica para la respuesta a la tuberculosis (financiación)."/>
    <s v="Porcentaje de gastos en prevención y control de la tuberculosis por el MINSAL, en relación al gasto público total"/>
    <s v="TB I-2 Tasa de incidencia de la tuberculosis por 100.000 habitantes."/>
    <s v="Poblacion General y poblaciones de alto riesgo"/>
    <s v="Planificación  y administración y Monitoreo y evaluación  para la mejora en el trabajo en prevención y control de TB."/>
    <s v="Lic. Gilma de Romero"/>
    <s v="MINSAL "/>
    <x v="0"/>
    <s v="C/U"/>
    <n v="1"/>
    <n v="998209.74"/>
    <n v="998209.74"/>
    <n v="1"/>
    <n v="1018173.9348"/>
    <n v="1018173.9348"/>
    <n v="1"/>
    <n v="1038537.4134960001"/>
    <n v="1038537.4134960001"/>
    <n v="1"/>
    <n v="1059308.1617659202"/>
    <n v="1059308.1617659202"/>
    <n v="1"/>
    <n v="1080494.3250012386"/>
    <n v="1080494.3250012386"/>
    <n v="5194723.5750631597"/>
    <s v="MINSAL"/>
  </r>
  <r>
    <s v="Diagnóstico, tratamiento y atención de la TB"/>
    <x v="10"/>
    <n v="4"/>
    <x v="1"/>
    <s v="Tamizaje, diagnóstico y control del tratamiento de la tuberculosis"/>
    <s v="Meta 2: Porcentaje de éxito del tratamiento para casos de TB &gt;92%."/>
    <s v="2.5-Proporcionar tratamiento oportuno a todas las personas con TB sensible y drogorresistente para alcanzar la curación."/>
    <s v="Meta 2: Porcentaje de éxito del tratamiento para TB &gt;92%."/>
    <s v="TB O-2a: Tasa de éxito del tratamiento en todas las formas de tuberculosis- confirmados bacteriológicamente y con diagnóstico clínico, casos nuevos y recaídas"/>
    <s v="Poblacion General y poblaciones de alto riesgo"/>
    <s v="Compra de productos Farmacéuticos _x000a_Tratamiento para los pacientes diagnosticados en los distintos centros de atencion del ISSS."/>
    <s v="_x000a__x000a_ISSS"/>
    <s v="ISSS,2"/>
    <x v="6"/>
    <s v="Monto total"/>
    <n v="1"/>
    <n v="63781.97"/>
    <n v="63781.97"/>
    <n v="1"/>
    <n v="65753.929999999993"/>
    <n v="65753.929999999993"/>
    <n v="1"/>
    <n v="67725.899999999994"/>
    <n v="67725.899999999994"/>
    <n v="1"/>
    <n v="69697.87"/>
    <n v="69697.87"/>
    <n v="1"/>
    <n v="71669.84"/>
    <n v="71669.84"/>
    <n v="338629.51"/>
    <s v="ISSS"/>
  </r>
  <r>
    <s v="Diagnóstico, tratamiento y atención de la TB"/>
    <x v="1"/>
    <n v="5"/>
    <x v="1"/>
    <s v="Diagnóstico de la TB Sensible y DR/ pruebas de sensibilidad a los fármacos."/>
    <s v="Meta 1: Detectar al menos el 90% de la incidencia de TB estimados por la OMS."/>
    <s v="2.1-- Continuar el proceso de control avanzado para la eliminación de la tuberculosis como problema de salud pública, con la implementación de intervenciones eficaces. "/>
    <s v="Meta 2.1: Porcentaje de pacientes con TB que fueron diagnosticados a través de pruebas bacteriológicas 75%. "/>
    <s v="TBDT-1  Número de pacientes notificados con todas las formas de tuberculosis (esto es, confirmada bacteriológicamente + diagnosticada clínicamente), *incluye únicamente pacientes nuevos y recaídas. ."/>
    <s v="Poblacion General y poblaciones de alto riesgo"/>
    <s v="Adquisición de equipos, suministros e insumos necesarios para el diagnóstico de la tuberculosis, TB/VIH y TB-MDR."/>
    <s v="_x000a__x000a_ISSS"/>
    <s v="ISSS,3"/>
    <x v="6"/>
    <s v="Monto total"/>
    <n v="1"/>
    <n v="431866.4"/>
    <n v="431866.4"/>
    <n v="1"/>
    <n v="475270.88"/>
    <n v="475270.88"/>
    <n v="1"/>
    <n v="518675.36"/>
    <n v="518675.36"/>
    <n v="1"/>
    <n v="562079.84"/>
    <n v="562079.84"/>
    <n v="1"/>
    <n v="605484.31999999995"/>
    <n v="605484.31999999995"/>
    <n v="2593376.7999999998"/>
    <s v="ISSS"/>
  </r>
  <r>
    <s v="Diagnóstico, tratamiento y atención de la TB"/>
    <x v="10"/>
    <n v="4"/>
    <x v="1"/>
    <s v="Tamizaje, diagnóstico y control del tratamiento de la tuberculosis"/>
    <s v="Meta 2: Porcentaje de éxito del tratamiento para casos de TB &gt;92%."/>
    <s v="2.5-Proporcionar tratamiento oportuno a todas las personas con TB sensible y drogorresistente para alcanzar la curación."/>
    <s v="Meta 2: Porcentaje de éxito del tratamiento para TB &gt;92%."/>
    <s v="TB O-2a: Tasa de éxito del tratamiento en todas las formas de tuberculosis- confirmados bacteriológicamente y con diagnóstico clínico, casos nuevos y recaídas"/>
    <s v="Poblacion General y poblaciones de alto riesgo"/>
    <s v="Otros Gastos (Otras prestaciones, micronutrientes, transporte, entre otros)"/>
    <s v="_x000a__x000a_ISSS"/>
    <s v="ISSS,4"/>
    <x v="6"/>
    <s v="cada una"/>
    <n v="1"/>
    <n v="422756.75"/>
    <n v="422756.75"/>
    <n v="1"/>
    <n v="1391"/>
    <n v="1391"/>
    <n v="1"/>
    <n v="1058608.8500000001"/>
    <n v="1058608.8500000001"/>
    <n v="1"/>
    <n v="1270280.76"/>
    <n v="1270280.76"/>
    <n v="1"/>
    <n v="1481952.68"/>
    <n v="1481952.68"/>
    <n v="4234990.04"/>
    <s v="ISSS"/>
  </r>
  <r>
    <s v="Diagnóstico, tratamiento y atención de la TB"/>
    <x v="10"/>
    <n v="1"/>
    <x v="1"/>
    <s v="Diagnóstico de la TB Sensible y DR/ pruebas de sensibilidad a los fármacos."/>
    <s v="Meta 1: Detectar al menos el 90% de la incidencia de TB estimados por la OMS."/>
    <s v="2.1-- Continuar el proceso de control avanzado para la eliminación de la tuberculosis como problema de salud pública, con la implementación de intervenciones eficaces. "/>
    <s v="Tasa de incidencia de tuberculosis por cada 100,000 habitantes (&amp;)"/>
    <s v="TB I-2 : Tasa de incidencia de TB por 100 000 habitantes."/>
    <s v="Poblacion General y poblaciones de alto riesgo"/>
    <s v="Aquisición de productos y equipo de Salud, Instituto Salvadoreño del Seguro Social."/>
    <s v="_x000a__x000a_ISSS"/>
    <s v="ISSS,6"/>
    <x v="6"/>
    <s v="Monto total"/>
    <n v="1"/>
    <n v="32237.03"/>
    <n v="32237.03"/>
    <n v="1"/>
    <n v="30205.54"/>
    <n v="30205.54"/>
    <n v="1"/>
    <n v="28174.06"/>
    <n v="28174.06"/>
    <n v="1"/>
    <n v="26142.58"/>
    <n v="26142.58"/>
    <n v="1"/>
    <n v="24111.09"/>
    <n v="24111.09"/>
    <n v="140870.30000000002"/>
    <s v="ISSS"/>
  </r>
  <r>
    <s v="Diagnóstico, tratamiento y atención de la TB"/>
    <x v="10"/>
    <n v="1"/>
    <x v="1"/>
    <s v="Tamizaje, diagnóstico y control del tratamiento de la tuberculosis"/>
    <s v="Meta 2: Porcentaje de éxito del tratamiento para TB &gt;92%."/>
    <s v="TB O-2a: Tasa de éxito del tratamiento en todas las formas de tuberculosis- confirmados bacteriológicamente y con diagnóstico clínico, casos nuevos y recaídas"/>
    <s v="Tasa de incidencia de la tuberculosis (por cada 100.000 habitantes)"/>
    <s v="TB I-2 : Tasa de incidencia de TB por 100 000 habitantes."/>
    <s v="Poblacion General y poblaciones de alto riesgo"/>
    <s v="Pago de salario y prestaciones de ley para recursos humanos ISSS para atención del Programa de Tuberculosis ISSS Hospitales, Unidades Médicas, Clínicas comunales y Nivel Central ISSS."/>
    <s v="_x000a__x000a_ISSS"/>
    <s v="ISSS,6"/>
    <x v="6"/>
    <s v="por personas"/>
    <n v="1"/>
    <n v="2255273.5099999998"/>
    <n v="2255273.5099999998"/>
    <n v="1"/>
    <n v="2498937.19"/>
    <n v="2498937.19"/>
    <n v="1"/>
    <n v="2742600.87"/>
    <n v="2742600.87"/>
    <n v="1"/>
    <n v="2986264.55"/>
    <n v="2986264.55"/>
    <n v="1"/>
    <n v="3229928.24"/>
    <n v="3229928.24"/>
    <n v="13713004.359999999"/>
    <s v="ISSS"/>
  </r>
  <r>
    <s v="Poblaciones clave y vulnerables – TB/TB-DR"/>
    <x v="0"/>
    <n v="1"/>
    <x v="0"/>
    <s v="Descarte de la TB activa y latente para la administración de tratamiento a la enfermedad activa e ILTB en 100% de PPL en aquellos que son elegibles."/>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población Privados de Libertad (PPL)."/>
    <s v="Pago de salario  de Recursos Humanos Dirección General de Centros Penales  (RRHH)"/>
    <s v="DGCP"/>
    <m/>
    <x v="7"/>
    <m/>
    <n v="1"/>
    <n v="520366.4"/>
    <n v="520366.4"/>
    <n v="1"/>
    <n v="546384.72000000009"/>
    <n v="546384.72000000009"/>
    <n v="1"/>
    <n v="546385.77000000014"/>
    <n v="546385.77000000014"/>
    <n v="1"/>
    <n v="573705.05850000016"/>
    <n v="573705.05850000016"/>
    <n v="1"/>
    <n v="602390.3114250002"/>
    <n v="602390.3114250002"/>
    <n v="2789232.2599250004"/>
    <s v="DGCP"/>
  </r>
  <r>
    <s v="Poblaciones clave y vulnerables – TB/TB-DR"/>
    <x v="0"/>
    <n v="1"/>
    <x v="0"/>
    <s v="Tratamiento y atención a las personas afectadas por la coinfección TB/VIH"/>
    <s v="Meta 1.6: Disminuir al menos el 50% de la incidencia de casos de TB todas las formas en población privada de libertad. "/>
    <s v="1.1- Detectar oportunamente las personas con tuberculosis presuntivas, priorizando las poblaciones de mayor riesgo y vulnerabilidad."/>
    <s v="Porcentaje de casos todas las formas de TB entre PPL tratados exitosamente entre el total de casos todas las formas notificadas"/>
    <s v="TB O-2a Tasa de éxito del tratamiento en todas las formas de tuberculosis, confirmada bacteriológicamente y diagnosticada clínicamente, pacientes nuevos y recaídas. "/>
    <s v=" Para personas con TB y TB/VIH"/>
    <s v="Brindar soporte nutricional especializado:  Dietas, suplementos nutricionales. Para personas con TB y TB/VIH"/>
    <s v="DGCP"/>
    <m/>
    <x v="7"/>
    <m/>
    <n v="1"/>
    <n v="1214322.2000000002"/>
    <n v="1214322.2000000002"/>
    <n v="1"/>
    <n v="1275038.3100000003"/>
    <n v="1275038.3100000003"/>
    <n v="1"/>
    <n v="1338790.2255000004"/>
    <n v="1338790.2255000004"/>
    <n v="1"/>
    <n v="1405729.7367750006"/>
    <n v="1405729.7367750006"/>
    <n v="1"/>
    <n v="1476016.2236137507"/>
    <n v="1476016.2236137507"/>
    <n v="6709896.6958887521"/>
    <s v="DGCP"/>
  </r>
  <r>
    <s v="Poblaciones clave y vulnerables – TB/TB-DR"/>
    <x v="0"/>
    <n v="1"/>
    <x v="0"/>
    <s v="Descarte de la TB activa y latente para la administración de tratamiento a la enfermedad activa e ILTB en 100% de PPL en aquellos que son elegibles."/>
    <s v="Descarte de la TB activa y latente para la administración de tratamiento a la enfermedad activa e ILTB en 100% de PPL en aquellos que son elegibles."/>
    <s v="Descarte de la TB activa y latente para la administración de tratamiento a la enfermedad activa e ILTB en 100% de PPL en aquellos que son elegibles."/>
    <s v="Descarte de la TB activa y latente para la administración de tratamiento a la enfermedad activa e ILTB en 100% de PPL en aquellos que son elegibles."/>
    <s v="Descarte de la TB activa y latente para la administración de tratamiento a la enfermedad activa e ILTB en 100% de PPL en aquellos que son elegibles."/>
    <s v="Descarte de la TB activa y latente para la administración de tratamiento a la enfermedad activa e ILTB en 100% de PPL en aquellos que son elegibles."/>
    <s v="Adquisición de medicamentos : Productos farmaceuticos, para atención de PPL."/>
    <s v="DGCP"/>
    <m/>
    <x v="7"/>
    <m/>
    <n v="1"/>
    <n v="8421.64"/>
    <n v="8421.64"/>
    <n v="1"/>
    <n v="8842.7219999999998"/>
    <n v="8842.7219999999998"/>
    <n v="1"/>
    <n v="9284.8580999999995"/>
    <n v="9284.8580999999995"/>
    <n v="1"/>
    <n v="9749.1010050000004"/>
    <n v="9749.1010050000004"/>
    <n v="1"/>
    <n v="10236.556055250001"/>
    <n v="10236.556055250001"/>
    <n v="46534.877160249998"/>
    <s v="DGCP"/>
  </r>
  <r>
    <s v="Poblaciones clave y vulnerables – TB/TB-DR"/>
    <x v="0"/>
    <n v="9"/>
    <x v="0"/>
    <s v="_x000a_Involucramiento de otros proveedores no PNT en la atención de la TB (Observatorio TB, ONG/OSC, proveedores de salud privados, gobiernos municipales, sector académico)."/>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población Privados de Libertad (PPL)."/>
    <s v="Fortalecimiento al recurso humano en salud (Capacitaciones, supervisión y monitoreo) para la actualización de lineamientos de atención."/>
    <s v="DGCP"/>
    <m/>
    <x v="7"/>
    <m/>
    <n v="1"/>
    <n v="73907.600000000006"/>
    <n v="73907.600000000006"/>
    <n v="1"/>
    <n v="77602.98000000001"/>
    <n v="77602.98000000001"/>
    <n v="1"/>
    <n v="81483.129000000015"/>
    <n v="81483.129000000015"/>
    <n v="1"/>
    <n v="85557.285450000025"/>
    <n v="85557.285450000025"/>
    <n v="1"/>
    <n v="89835.149722500035"/>
    <n v="89835.149722500035"/>
    <n v="408386.14417250012"/>
    <s v="DGCP"/>
  </r>
  <r>
    <s v="Poblaciones clave y vulnerables – TB/TB-DR"/>
    <x v="0"/>
    <n v="4"/>
    <x v="0"/>
    <s v="Descarte de la TB activa y latente para la administración de tratamiento a la enfermedad activa e ILTB en 100% de PPL en aquellos que son elegibles."/>
    <s v="Porcentaje de éxito del tratamiento para TB &gt;92%."/>
    <s v="2.7. Tratamiento centrado en las necesidades de los usuarios, con atención integral a las comorbilidades, _x000a_como enfermedades no transmisibles, salud mental y apoyo psicosocial..  "/>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oblación Privados de Libertad (PPL)."/>
    <s v="Compra de suplemento nutricional para la administracion de cuatro latas o su equivalente durante la primera fase de tratamiento a los pacientes afectados por TB población Privados de Libertad (PPL)."/>
    <s v="Lic. Yanira Chita"/>
    <s v="FM L-1"/>
    <x v="3"/>
    <s v="C/U"/>
    <n v="10360"/>
    <n v="14"/>
    <n v="145040"/>
    <n v="10360"/>
    <n v="14"/>
    <n v="145040"/>
    <n v="10356"/>
    <n v="14"/>
    <n v="144984"/>
    <n v="0"/>
    <n v="0"/>
    <n v="0"/>
    <n v="0"/>
    <n v="0"/>
    <n v="0"/>
    <n v="435064"/>
    <s v="PNUD"/>
  </r>
  <r>
    <s v="Diagnóstico, tratamiento y atención de la TB"/>
    <x v="10"/>
    <n v="4"/>
    <x v="0"/>
    <s v="Descarte de la TB activa y latente para la administración de tratamiento a la enfermedad activa e ILTB en 100% de PPL en aquellos que son elegibles."/>
    <s v="Porcentaje de éxito del tratamiento para TB &gt;92%."/>
    <s v="2.7. Tratamiento centrado en las necesidades de los usuarios, con atención integral a las comorbilidades, _x000a_como enfermedades no transmisibles, salud mental y apoyo psicosocial..  "/>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oblación Privados de Libertad (PPL)."/>
    <s v="Compra de suplemento nutricional para la administracion de cuatro latas o su equivalente durante la primera fase de tratamiento a los pacientes afectados por TB población Privados de Libertad (PPL)."/>
    <s v="Lic. Yanira Chita"/>
    <s v="FM L-1"/>
    <x v="2"/>
    <s v="C/U"/>
    <n v="0"/>
    <n v="0"/>
    <n v="0"/>
    <m/>
    <n v="0"/>
    <n v="0"/>
    <m/>
    <n v="0"/>
    <n v="0"/>
    <n v="6856"/>
    <n v="14"/>
    <n v="95984"/>
    <n v="4940"/>
    <n v="14"/>
    <n v="69160"/>
    <n v="165144"/>
    <s v="PNUD"/>
  </r>
  <r>
    <s v="Diagnóstico, tratamiento y atención de la TB"/>
    <x v="10"/>
    <n v="4"/>
    <x v="0"/>
    <s v="Descarte de la TB activa y latente para la administración de tratamiento a la enfermedad activa e ILTB en 100% de PPL en aquellos que son elegibles."/>
    <s v="Porcentaje de éxito del tratamiento para TB &gt;92%."/>
    <s v="2.7. Tratamiento centrado en las necesidades de los usuarios, con atención integral a las comorbilidades, _x000a_como enfermedades no transmisibles, salud mental y apoyo psicosocial."/>
    <s v="Tasa de éxito del tratamiento en todas las formas de tuberculosis- confirmados bacteriológicamente y con diagnóstico clínico, casos nuevos y recaídas"/>
    <s v="TB O-2a Tasa de éxito del tratamiento en todas las formas de tuberculosis, confirmada bacteriológicamente y con diagnóstico clínico, casos nuevos y recaídas."/>
    <s v="Pacientes afectados por TB, TB DR y a otros grupos vulnerables como son los niños y personas con TB diabetes. "/>
    <s v="Compra de suplemento nutricional para la administracion de cuatro latas o su equivalente durante la primera fase de tratamiento a los pacientes afectados por TB, TB DR y a otros grupos vulnerables como son los niños y personas con TB diabetes. "/>
    <s v="Lic. Yanira Chita"/>
    <m/>
    <x v="0"/>
    <s v="C/U"/>
    <n v="7722"/>
    <n v="14"/>
    <n v="108108"/>
    <n v="7722"/>
    <n v="14"/>
    <n v="108108"/>
    <n v="7722"/>
    <n v="14"/>
    <n v="108108"/>
    <n v="7722"/>
    <n v="14"/>
    <n v="108108"/>
    <n v="7725"/>
    <n v="14"/>
    <n v="108150"/>
    <n v="540582"/>
    <s v="PNUD"/>
  </r>
  <r>
    <s v="Poblaciones clave y vulnerables – TB/TB-DR"/>
    <x v="0"/>
    <n v="5"/>
    <x v="0"/>
    <s v="Descarte de la TB activa y latente para la administración de tratamiento a la enfermedad activa e ILTB en 100% de PPL en aquellos que son elegibles."/>
    <s v="Meta 1.5: Disminuir al menos el 50% de la incidencia de casos de TB todas las formas en población privada de libertad. "/>
    <s v="1.1- Detectar oportunamente las personas con tuberculosis presuntivas, priorizando las poblaciones de mayor riesgo y vulnerabilidad."/>
    <s v="Número de casos de TB (todas las formas) notificados entre los privados de libertad"/>
    <s v="KVP-1 Número de personas con tuberculosis (todas las formas) notificadas entre personas privadas de libertad; *solo incluye pacientes nuevos y recaídas. "/>
    <s v="población Privados de Libertad (PPL)."/>
    <s v="Adquisición de  insumos para diagnostico laboratorial y mantenimiento de medios diagnósticos"/>
    <s v="DGCP"/>
    <m/>
    <x v="7"/>
    <m/>
    <n v="1"/>
    <n v="10000"/>
    <n v="10000"/>
    <n v="1"/>
    <n v="10500"/>
    <n v="10500"/>
    <n v="1"/>
    <n v="11025"/>
    <n v="11025"/>
    <n v="1"/>
    <n v="11576.25"/>
    <n v="11576.25"/>
    <n v="1"/>
    <n v="12155.0625"/>
    <n v="12155.0625"/>
    <n v="55256.3125"/>
    <s v="DGC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57B375-CB4D-4C1B-BB62-C0BD4D7A0EA1}" name="TablaDinámica3" cacheId="6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7">
  <location ref="A3:G10" firstHeaderRow="0" firstDataRow="1" firstDataCol="1"/>
  <pivotFields count="32">
    <pivotField showAll="0"/>
    <pivotField showAll="0"/>
    <pivotField showAll="0"/>
    <pivotField axis="axisRow" showAll="0">
      <items count="8">
        <item x="0"/>
        <item m="1" x="6"/>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dataField="1" numFmtId="164" showAll="0"/>
    <pivotField showAll="0"/>
  </pivotFields>
  <rowFields count="1">
    <field x="3"/>
  </rowFields>
  <rowItems count="7">
    <i>
      <x/>
    </i>
    <i>
      <x v="2"/>
    </i>
    <i>
      <x v="3"/>
    </i>
    <i>
      <x v="4"/>
    </i>
    <i>
      <x v="5"/>
    </i>
    <i>
      <x v="6"/>
    </i>
    <i t="grand">
      <x/>
    </i>
  </rowItems>
  <colFields count="1">
    <field x="-2"/>
  </colFields>
  <colItems count="6">
    <i>
      <x/>
    </i>
    <i i="1">
      <x v="1"/>
    </i>
    <i i="2">
      <x v="2"/>
    </i>
    <i i="3">
      <x v="3"/>
    </i>
    <i i="4">
      <x v="4"/>
    </i>
    <i i="5">
      <x v="5"/>
    </i>
  </colItems>
  <dataFields count="6">
    <dataField name="Suma de Año 1" fld="17" baseField="0" baseItem="0"/>
    <dataField name="Suma de Año 2" fld="20" baseField="0" baseItem="0"/>
    <dataField name="Suma de Año 3" fld="23" baseField="0" baseItem="0"/>
    <dataField name="Suma de Año 4" fld="26" baseField="0" baseItem="0"/>
    <dataField name="Suma de Año 5" fld="29" baseField="0" baseItem="0"/>
    <dataField name="Suma de TOTAL 5 AÑOS" fld="30" baseField="0" baseItem="0"/>
  </dataFields>
  <formats count="3">
    <format dxfId="110">
      <pivotArea outline="0" collapsedLevelsAreSubtotals="1" fieldPosition="0"/>
    </format>
    <format dxfId="109">
      <pivotArea dataOnly="0" labelOnly="1" fieldPosition="0">
        <references count="1">
          <reference field="3" count="0"/>
        </references>
      </pivotArea>
    </format>
    <format dxfId="108">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497F10-0C26-4007-BA71-6BF0695B9A84}" name="TablaDinámica7" cacheId="6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G12" firstHeaderRow="0" firstDataRow="1" firstDataCol="1"/>
  <pivotFields count="32">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2"/>
        <item x="4"/>
        <item x="7"/>
        <item x="1"/>
        <item x="3"/>
        <item x="5"/>
        <item x="6"/>
        <item x="0"/>
        <item t="default"/>
      </items>
    </pivotField>
    <pivotField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dataField="1" numFmtId="164" showAll="0"/>
    <pivotField showAll="0"/>
  </pivotFields>
  <rowFields count="1">
    <field x="13"/>
  </rowFields>
  <rowItems count="9">
    <i>
      <x/>
    </i>
    <i>
      <x v="1"/>
    </i>
    <i>
      <x v="2"/>
    </i>
    <i>
      <x v="3"/>
    </i>
    <i>
      <x v="4"/>
    </i>
    <i>
      <x v="5"/>
    </i>
    <i>
      <x v="6"/>
    </i>
    <i>
      <x v="7"/>
    </i>
    <i t="grand">
      <x/>
    </i>
  </rowItems>
  <colFields count="1">
    <field x="-2"/>
  </colFields>
  <colItems count="6">
    <i>
      <x/>
    </i>
    <i i="1">
      <x v="1"/>
    </i>
    <i i="2">
      <x v="2"/>
    </i>
    <i i="3">
      <x v="3"/>
    </i>
    <i i="4">
      <x v="4"/>
    </i>
    <i i="5">
      <x v="5"/>
    </i>
  </colItems>
  <dataFields count="6">
    <dataField name="Suma de Año 1" fld="17" baseField="0" baseItem="0"/>
    <dataField name="Suma de Año 2" fld="20" baseField="0" baseItem="0"/>
    <dataField name="Suma de Año 3" fld="23" baseField="0" baseItem="0"/>
    <dataField name="Suma de Año 4" fld="26" baseField="0" baseItem="0"/>
    <dataField name="Suma de Año 5" fld="29" baseField="0" baseItem="0"/>
    <dataField name="Suma de TOTAL 5 AÑOS" fld="30" baseField="0" baseItem="0"/>
  </dataFields>
  <formats count="5">
    <format dxfId="107">
      <pivotArea outline="0" collapsedLevelsAreSubtotals="1" fieldPosition="0"/>
    </format>
    <format dxfId="106">
      <pivotArea field="13" type="button" dataOnly="0" labelOnly="1" outline="0" axis="axisRow" fieldPosition="0"/>
    </format>
    <format dxfId="105">
      <pivotArea dataOnly="0" labelOnly="1" outline="0" fieldPosition="0">
        <references count="1">
          <reference field="4294967294" count="6">
            <x v="0"/>
            <x v="1"/>
            <x v="2"/>
            <x v="3"/>
            <x v="4"/>
            <x v="5"/>
          </reference>
        </references>
      </pivotArea>
    </format>
    <format dxfId="104">
      <pivotArea dataOnly="0" labelOnly="1" outline="0" fieldPosition="0">
        <references count="1">
          <reference field="4294967294" count="1">
            <x v="5"/>
          </reference>
        </references>
      </pivotArea>
    </format>
    <format dxfId="103">
      <pivotArea dataOnly="0" labelOnly="1"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4D41DA4-EA44-4734-B37C-3BD4C01208F5}" name="TablaDinámica8" cacheId="6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G16" firstHeaderRow="0" firstDataRow="1" firstDataCol="1"/>
  <pivotFields count="32">
    <pivotField showAll="0"/>
    <pivotField axis="axisRow" showAll="0">
      <items count="16">
        <item x="4"/>
        <item x="8"/>
        <item x="6"/>
        <item x="7"/>
        <item x="2"/>
        <item m="1" x="14"/>
        <item x="0"/>
        <item x="3"/>
        <item m="1" x="12"/>
        <item x="9"/>
        <item x="1"/>
        <item x="11"/>
        <item x="5"/>
        <item m="1" x="13"/>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dataField="1" numFmtId="166" showAll="0"/>
    <pivotField dataField="1" numFmtId="164" showAll="0"/>
    <pivotField showAll="0"/>
  </pivotFields>
  <rowFields count="1">
    <field x="1"/>
  </rowFields>
  <rowItems count="13">
    <i>
      <x/>
    </i>
    <i>
      <x v="1"/>
    </i>
    <i>
      <x v="2"/>
    </i>
    <i>
      <x v="3"/>
    </i>
    <i>
      <x v="4"/>
    </i>
    <i>
      <x v="6"/>
    </i>
    <i>
      <x v="7"/>
    </i>
    <i>
      <x v="9"/>
    </i>
    <i>
      <x v="10"/>
    </i>
    <i>
      <x v="11"/>
    </i>
    <i>
      <x v="12"/>
    </i>
    <i>
      <x v="14"/>
    </i>
    <i t="grand">
      <x/>
    </i>
  </rowItems>
  <colFields count="1">
    <field x="-2"/>
  </colFields>
  <colItems count="6">
    <i>
      <x/>
    </i>
    <i i="1">
      <x v="1"/>
    </i>
    <i i="2">
      <x v="2"/>
    </i>
    <i i="3">
      <x v="3"/>
    </i>
    <i i="4">
      <x v="4"/>
    </i>
    <i i="5">
      <x v="5"/>
    </i>
  </colItems>
  <dataFields count="6">
    <dataField name="Suma de Año 1" fld="17" baseField="0" baseItem="0"/>
    <dataField name="Suma de Año 2" fld="20" baseField="0" baseItem="0"/>
    <dataField name="Suma de Año 3" fld="23" baseField="0" baseItem="0"/>
    <dataField name="Suma de Año 4" fld="26" baseField="0" baseItem="0"/>
    <dataField name="Suma de Año 5" fld="29" baseField="0" baseItem="0"/>
    <dataField name="Suma de TOTAL 5 AÑOS" fld="30" baseField="0" baseItem="0"/>
  </dataFields>
  <formats count="7">
    <format dxfId="102">
      <pivotArea outline="0" collapsedLevelsAreSubtotals="1" fieldPosition="0"/>
    </format>
    <format dxfId="101">
      <pivotArea dataOnly="0" labelOnly="1" fieldPosition="0">
        <references count="1">
          <reference field="1" count="0"/>
        </references>
      </pivotArea>
    </format>
    <format dxfId="100">
      <pivotArea dataOnly="0" labelOnly="1" outline="0" fieldPosition="0">
        <references count="1">
          <reference field="4294967294" count="1">
            <x v="5"/>
          </reference>
        </references>
      </pivotArea>
    </format>
    <format dxfId="99">
      <pivotArea dataOnly="0" labelOnly="1" outline="0" fieldPosition="0">
        <references count="1">
          <reference field="4294967294" count="1">
            <x v="5"/>
          </reference>
        </references>
      </pivotArea>
    </format>
    <format dxfId="98">
      <pivotArea field="1" type="button" dataOnly="0" labelOnly="1" outline="0" axis="axisRow" fieldPosition="0"/>
    </format>
    <format dxfId="97">
      <pivotArea dataOnly="0" labelOnly="1" outline="0" fieldPosition="0">
        <references count="1">
          <reference field="4294967294" count="5">
            <x v="0"/>
            <x v="1"/>
            <x v="2"/>
            <x v="3"/>
            <x v="4"/>
          </reference>
        </references>
      </pivotArea>
    </format>
    <format dxfId="96">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B50CA50-2072-482A-96EC-62BE22C6DFC7}" name="TablaDinámica16" cacheId="6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54" firstHeaderRow="0" firstDataRow="1" firstDataCol="1"/>
  <pivotFields count="32">
    <pivotField showAll="0"/>
    <pivotField axis="axisRow" showAll="0">
      <items count="16">
        <item x="4"/>
        <item x="8"/>
        <item x="6"/>
        <item x="7"/>
        <item x="2"/>
        <item m="1" x="14"/>
        <item x="0"/>
        <item x="3"/>
        <item m="1" x="12"/>
        <item x="9"/>
        <item x="1"/>
        <item x="11"/>
        <item x="5"/>
        <item m="1" x="13"/>
        <item x="1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9">
        <item x="2"/>
        <item x="4"/>
        <item x="7"/>
        <item x="1"/>
        <item x="3"/>
        <item x="5"/>
        <item x="6"/>
        <item x="0"/>
        <item t="default"/>
      </items>
    </pivotField>
    <pivotField showAll="0"/>
    <pivotField showAll="0"/>
    <pivotField showAll="0"/>
    <pivotField dataField="1" numFmtId="166" showAll="0"/>
    <pivotField showAll="0"/>
    <pivotField showAll="0"/>
    <pivotField dataField="1" numFmtId="166" showAll="0"/>
    <pivotField showAll="0"/>
    <pivotField showAll="0"/>
    <pivotField dataField="1" numFmtId="166" showAll="0"/>
    <pivotField showAll="0"/>
    <pivotField showAll="0"/>
    <pivotField numFmtId="166" showAll="0"/>
    <pivotField showAll="0"/>
    <pivotField showAll="0"/>
    <pivotField numFmtId="166" showAll="0"/>
    <pivotField numFmtId="164" showAll="0"/>
    <pivotField showAll="0"/>
  </pivotFields>
  <rowFields count="2">
    <field x="1"/>
    <field x="13"/>
  </rowFields>
  <rowItems count="51">
    <i>
      <x/>
    </i>
    <i r="1">
      <x/>
    </i>
    <i r="1">
      <x v="4"/>
    </i>
    <i>
      <x v="1"/>
    </i>
    <i r="1">
      <x/>
    </i>
    <i r="1">
      <x v="1"/>
    </i>
    <i r="1">
      <x v="7"/>
    </i>
    <i>
      <x v="2"/>
    </i>
    <i r="1">
      <x/>
    </i>
    <i r="1">
      <x v="3"/>
    </i>
    <i r="1">
      <x v="7"/>
    </i>
    <i>
      <x v="3"/>
    </i>
    <i r="1">
      <x/>
    </i>
    <i r="1">
      <x v="3"/>
    </i>
    <i r="1">
      <x v="4"/>
    </i>
    <i>
      <x v="4"/>
    </i>
    <i r="1">
      <x/>
    </i>
    <i r="1">
      <x v="4"/>
    </i>
    <i r="1">
      <x v="7"/>
    </i>
    <i>
      <x v="6"/>
    </i>
    <i r="1">
      <x/>
    </i>
    <i r="1">
      <x v="2"/>
    </i>
    <i r="1">
      <x v="3"/>
    </i>
    <i r="1">
      <x v="4"/>
    </i>
    <i r="1">
      <x v="7"/>
    </i>
    <i>
      <x v="7"/>
    </i>
    <i r="1">
      <x/>
    </i>
    <i r="1">
      <x v="3"/>
    </i>
    <i>
      <x v="9"/>
    </i>
    <i r="1">
      <x/>
    </i>
    <i r="1">
      <x v="3"/>
    </i>
    <i r="1">
      <x v="4"/>
    </i>
    <i r="1">
      <x v="7"/>
    </i>
    <i>
      <x v="10"/>
    </i>
    <i r="1">
      <x/>
    </i>
    <i r="1">
      <x v="3"/>
    </i>
    <i r="1">
      <x v="4"/>
    </i>
    <i r="1">
      <x v="6"/>
    </i>
    <i r="1">
      <x v="7"/>
    </i>
    <i>
      <x v="11"/>
    </i>
    <i r="1">
      <x v="7"/>
    </i>
    <i>
      <x v="12"/>
    </i>
    <i r="1">
      <x/>
    </i>
    <i r="1">
      <x v="3"/>
    </i>
    <i r="1">
      <x v="7"/>
    </i>
    <i>
      <x v="14"/>
    </i>
    <i r="1">
      <x/>
    </i>
    <i r="1">
      <x v="5"/>
    </i>
    <i r="1">
      <x v="6"/>
    </i>
    <i r="1">
      <x v="7"/>
    </i>
    <i t="grand">
      <x/>
    </i>
  </rowItems>
  <colFields count="1">
    <field x="-2"/>
  </colFields>
  <colItems count="3">
    <i>
      <x/>
    </i>
    <i i="1">
      <x v="1"/>
    </i>
    <i i="2">
      <x v="2"/>
    </i>
  </colItems>
  <dataFields count="3">
    <dataField name="Suma de Año 1" fld="17" baseField="0" baseItem="0"/>
    <dataField name="Suma de Año 2" fld="20" baseField="0" baseItem="0"/>
    <dataField name="Suma de Año 3" fld="23" baseField="0" baseItem="0"/>
  </dataFields>
  <formats count="1">
    <format dxfId="9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5F01165-C948-4403-BF58-9479E883B3AF}" name="TablaDinámica1" cacheId="3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20" firstHeaderRow="1" firstDataRow="1" firstDataCol="0"/>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166" showAll="0"/>
    <pivotField showAll="0"/>
    <pivotField showAll="0"/>
    <pivotField numFmtId="166" showAll="0"/>
    <pivotField showAll="0"/>
    <pivotField showAll="0"/>
    <pivotField numFmtId="166" showAll="0"/>
    <pivotField numFmtId="164"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5A8B-7634-4D59-939E-9085E5ADEC48}">
  <dimension ref="A1:AK112"/>
  <sheetViews>
    <sheetView topLeftCell="AB103" zoomScaleNormal="100" workbookViewId="0">
      <selection activeCell="AE104" sqref="AE104"/>
    </sheetView>
  </sheetViews>
  <sheetFormatPr baseColWidth="10" defaultColWidth="11.5546875" defaultRowHeight="70.2" customHeight="1"/>
  <cols>
    <col min="1" max="1" width="26" style="78" bestFit="1" customWidth="1"/>
    <col min="2" max="2" width="22" style="78" bestFit="1" customWidth="1"/>
    <col min="3" max="3" width="11.6640625" style="78" customWidth="1"/>
    <col min="4" max="5" width="35.33203125" style="78" customWidth="1"/>
    <col min="6" max="6" width="45.88671875" style="78" customWidth="1"/>
    <col min="7" max="10" width="40.33203125" style="78" customWidth="1"/>
    <col min="11" max="11" width="48.5546875" style="118" customWidth="1"/>
    <col min="12" max="12" width="14.6640625" style="78" customWidth="1"/>
    <col min="13" max="13" width="11.5546875" style="78"/>
    <col min="14" max="14" width="11.5546875" style="78" customWidth="1"/>
    <col min="15" max="15" width="11.5546875" style="104" customWidth="1"/>
    <col min="16" max="16" width="13.6640625" style="82" customWidth="1"/>
    <col min="17" max="17" width="18.88671875" style="78" customWidth="1"/>
    <col min="18" max="18" width="18.109375" style="78" customWidth="1"/>
    <col min="19" max="19" width="13" style="78" customWidth="1"/>
    <col min="20" max="20" width="27.44140625" style="78" customWidth="1"/>
    <col min="21" max="21" width="18.109375" style="78" customWidth="1"/>
    <col min="22" max="22" width="13" style="78" customWidth="1"/>
    <col min="23" max="23" width="27.44140625" style="78" customWidth="1"/>
    <col min="24" max="24" width="17.6640625" style="78" customWidth="1"/>
    <col min="25" max="25" width="14.5546875" style="78" customWidth="1"/>
    <col min="26" max="26" width="27.44140625" style="78" customWidth="1"/>
    <col min="27" max="27" width="18.109375" style="78" customWidth="1"/>
    <col min="28" max="28" width="12.88671875" style="78" customWidth="1"/>
    <col min="29" max="29" width="18.88671875" style="78" customWidth="1"/>
    <col min="30" max="30" width="22.88671875" style="78" customWidth="1"/>
    <col min="31" max="31" width="22" style="78" customWidth="1"/>
    <col min="32" max="32" width="20" style="78" customWidth="1"/>
    <col min="33" max="33" width="68.5546875" style="78" customWidth="1"/>
    <col min="34" max="34" width="14.6640625" style="78" bestFit="1" customWidth="1"/>
    <col min="35" max="35" width="19.33203125" style="78" customWidth="1"/>
    <col min="36" max="16384" width="11.5546875" style="78"/>
  </cols>
  <sheetData>
    <row r="1" spans="1:37" ht="70.2" customHeight="1">
      <c r="A1" s="187" t="s">
        <v>432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
    </row>
    <row r="2" spans="1:37" s="104" customFormat="1" ht="70.2" customHeight="1">
      <c r="A2" s="62" t="s">
        <v>0</v>
      </c>
      <c r="B2" s="62" t="s">
        <v>1</v>
      </c>
      <c r="C2" s="6" t="s">
        <v>2</v>
      </c>
      <c r="D2" s="6" t="s">
        <v>3</v>
      </c>
      <c r="E2" s="6" t="s">
        <v>431</v>
      </c>
      <c r="F2" s="6" t="s">
        <v>4</v>
      </c>
      <c r="G2" s="6" t="s">
        <v>5</v>
      </c>
      <c r="H2" s="6" t="s">
        <v>6</v>
      </c>
      <c r="I2" s="6" t="s">
        <v>7</v>
      </c>
      <c r="J2" s="6" t="s">
        <v>346</v>
      </c>
      <c r="K2" s="6" t="s">
        <v>8</v>
      </c>
      <c r="L2" s="6" t="s">
        <v>9</v>
      </c>
      <c r="M2" s="6" t="s">
        <v>10</v>
      </c>
      <c r="N2" s="6" t="s">
        <v>11</v>
      </c>
      <c r="O2" s="6" t="s">
        <v>12</v>
      </c>
      <c r="P2" s="6" t="s">
        <v>13</v>
      </c>
      <c r="Q2" s="6" t="s">
        <v>14</v>
      </c>
      <c r="R2" s="62" t="s">
        <v>15</v>
      </c>
      <c r="S2" s="6" t="s">
        <v>13</v>
      </c>
      <c r="T2" s="62" t="s">
        <v>14</v>
      </c>
      <c r="U2" s="62" t="s">
        <v>16</v>
      </c>
      <c r="V2" s="6" t="s">
        <v>13</v>
      </c>
      <c r="W2" s="62" t="s">
        <v>14</v>
      </c>
      <c r="X2" s="62" t="s">
        <v>17</v>
      </c>
      <c r="Y2" s="6" t="s">
        <v>13</v>
      </c>
      <c r="Z2" s="62" t="s">
        <v>14</v>
      </c>
      <c r="AA2" s="62" t="s">
        <v>18</v>
      </c>
      <c r="AB2" s="6" t="s">
        <v>13</v>
      </c>
      <c r="AC2" s="79" t="s">
        <v>14</v>
      </c>
      <c r="AD2" s="79" t="s">
        <v>19</v>
      </c>
      <c r="AE2" s="79" t="s">
        <v>20</v>
      </c>
      <c r="AF2" s="6" t="s">
        <v>21</v>
      </c>
      <c r="AG2" s="6" t="s">
        <v>22</v>
      </c>
      <c r="AH2" s="79" t="s">
        <v>23</v>
      </c>
      <c r="AI2" s="80"/>
    </row>
    <row r="3" spans="1:37" ht="70.2" customHeight="1">
      <c r="A3" s="5" t="s">
        <v>24</v>
      </c>
      <c r="B3" s="5" t="s">
        <v>25</v>
      </c>
      <c r="C3" s="5">
        <v>9</v>
      </c>
      <c r="D3" s="2" t="s">
        <v>26</v>
      </c>
      <c r="E3" s="2" t="s">
        <v>410</v>
      </c>
      <c r="F3" s="3" t="s">
        <v>27</v>
      </c>
      <c r="G3" s="4" t="s">
        <v>28</v>
      </c>
      <c r="H3" s="5" t="s">
        <v>29</v>
      </c>
      <c r="I3" s="5" t="s">
        <v>30</v>
      </c>
      <c r="J3" s="102" t="s">
        <v>351</v>
      </c>
      <c r="K3" s="102" t="s">
        <v>31</v>
      </c>
      <c r="L3" s="5" t="s">
        <v>32</v>
      </c>
      <c r="M3" s="5" t="s">
        <v>33</v>
      </c>
      <c r="N3" s="6" t="s">
        <v>34</v>
      </c>
      <c r="O3" s="5" t="s">
        <v>35</v>
      </c>
      <c r="P3" s="7">
        <v>1</v>
      </c>
      <c r="Q3" s="8">
        <v>10000</v>
      </c>
      <c r="R3" s="8">
        <f>P3*Q3</f>
        <v>10000</v>
      </c>
      <c r="S3" s="7">
        <v>1</v>
      </c>
      <c r="T3" s="8">
        <v>10000</v>
      </c>
      <c r="U3" s="8">
        <f>+S3*T3</f>
        <v>10000</v>
      </c>
      <c r="V3" s="7">
        <v>1</v>
      </c>
      <c r="W3" s="8">
        <v>10000</v>
      </c>
      <c r="X3" s="8">
        <f>+V3*W3</f>
        <v>10000</v>
      </c>
      <c r="Y3" s="7">
        <v>1</v>
      </c>
      <c r="Z3" s="8">
        <v>10000</v>
      </c>
      <c r="AA3" s="8">
        <f>+Y3*Z3</f>
        <v>10000</v>
      </c>
      <c r="AB3" s="7">
        <v>1</v>
      </c>
      <c r="AC3" s="8">
        <v>10000</v>
      </c>
      <c r="AD3" s="8">
        <f>+AB3*AC3</f>
        <v>10000</v>
      </c>
      <c r="AE3" s="9">
        <f t="shared" ref="AE3:AE74" si="0">+R3+U3+X3+AA3+AD3</f>
        <v>50000</v>
      </c>
      <c r="AF3" s="5" t="s">
        <v>34</v>
      </c>
      <c r="AG3" s="10" t="s">
        <v>318</v>
      </c>
      <c r="AH3" s="8">
        <f>+R3+U3+X3</f>
        <v>30000</v>
      </c>
      <c r="AI3" s="1"/>
    </row>
    <row r="4" spans="1:37" ht="70.2" customHeight="1">
      <c r="A4" s="5" t="s">
        <v>24</v>
      </c>
      <c r="B4" s="5" t="s">
        <v>25</v>
      </c>
      <c r="C4" s="5">
        <v>9</v>
      </c>
      <c r="D4" s="2" t="s">
        <v>26</v>
      </c>
      <c r="E4" s="2" t="s">
        <v>410</v>
      </c>
      <c r="F4" s="3" t="s">
        <v>27</v>
      </c>
      <c r="G4" s="4" t="s">
        <v>28</v>
      </c>
      <c r="H4" s="5" t="s">
        <v>29</v>
      </c>
      <c r="I4" s="5" t="s">
        <v>36</v>
      </c>
      <c r="J4" s="102" t="s">
        <v>351</v>
      </c>
      <c r="K4" s="131" t="s">
        <v>37</v>
      </c>
      <c r="L4" s="5" t="s">
        <v>38</v>
      </c>
      <c r="M4" s="5" t="s">
        <v>39</v>
      </c>
      <c r="N4" s="6" t="s">
        <v>40</v>
      </c>
      <c r="O4" s="5" t="s">
        <v>35</v>
      </c>
      <c r="P4" s="7">
        <v>1</v>
      </c>
      <c r="Q4" s="8">
        <v>11000</v>
      </c>
      <c r="R4" s="8">
        <f>P4*Q4</f>
        <v>11000</v>
      </c>
      <c r="S4" s="7">
        <v>1</v>
      </c>
      <c r="T4" s="8">
        <v>11000</v>
      </c>
      <c r="U4" s="8">
        <f>S4*T4</f>
        <v>11000</v>
      </c>
      <c r="V4" s="7">
        <v>1</v>
      </c>
      <c r="W4" s="8">
        <v>11000</v>
      </c>
      <c r="X4" s="8">
        <f>V4*W4</f>
        <v>11000</v>
      </c>
      <c r="Y4" s="7"/>
      <c r="Z4" s="8">
        <v>0</v>
      </c>
      <c r="AA4" s="8">
        <f t="shared" ref="AA4:AA75" si="1">+Y4*Z4</f>
        <v>0</v>
      </c>
      <c r="AB4" s="7"/>
      <c r="AC4" s="8">
        <v>0</v>
      </c>
      <c r="AD4" s="8">
        <f t="shared" ref="AD4:AD75" si="2">+AB4*AC4</f>
        <v>0</v>
      </c>
      <c r="AE4" s="9">
        <f t="shared" si="0"/>
        <v>33000</v>
      </c>
      <c r="AF4" s="5" t="s">
        <v>41</v>
      </c>
      <c r="AG4" s="10" t="s">
        <v>42</v>
      </c>
      <c r="AH4" s="8">
        <f t="shared" ref="AH4:AH5" si="3">+R4+U4+X4</f>
        <v>33000</v>
      </c>
      <c r="AI4" s="1"/>
    </row>
    <row r="5" spans="1:37" ht="70.2" customHeight="1">
      <c r="A5" s="5" t="s">
        <v>24</v>
      </c>
      <c r="B5" s="5" t="s">
        <v>25</v>
      </c>
      <c r="C5" s="5">
        <v>9</v>
      </c>
      <c r="D5" s="2" t="s">
        <v>26</v>
      </c>
      <c r="E5" s="2" t="s">
        <v>410</v>
      </c>
      <c r="F5" s="3" t="s">
        <v>27</v>
      </c>
      <c r="G5" s="4" t="s">
        <v>28</v>
      </c>
      <c r="H5" s="5" t="s">
        <v>29</v>
      </c>
      <c r="I5" s="5" t="s">
        <v>36</v>
      </c>
      <c r="J5" s="102" t="s">
        <v>351</v>
      </c>
      <c r="K5" s="102" t="s">
        <v>37</v>
      </c>
      <c r="L5" s="5" t="s">
        <v>38</v>
      </c>
      <c r="M5" s="5" t="s">
        <v>39</v>
      </c>
      <c r="N5" s="6" t="s">
        <v>43</v>
      </c>
      <c r="O5" s="5" t="s">
        <v>35</v>
      </c>
      <c r="P5" s="7"/>
      <c r="Q5" s="8">
        <v>0</v>
      </c>
      <c r="R5" s="8">
        <f t="shared" ref="R5:R65" si="4">P5*Q5</f>
        <v>0</v>
      </c>
      <c r="S5" s="7"/>
      <c r="T5" s="8">
        <v>0</v>
      </c>
      <c r="U5" s="8">
        <f t="shared" ref="U5:U65" si="5">+S5*T5</f>
        <v>0</v>
      </c>
      <c r="V5" s="7"/>
      <c r="W5" s="8">
        <v>0</v>
      </c>
      <c r="X5" s="8">
        <f t="shared" ref="X5:X75" si="6">+V5*W5</f>
        <v>0</v>
      </c>
      <c r="Y5" s="7">
        <v>1</v>
      </c>
      <c r="Z5" s="8">
        <v>11000</v>
      </c>
      <c r="AA5" s="8">
        <f t="shared" si="1"/>
        <v>11000</v>
      </c>
      <c r="AB5" s="7">
        <v>1</v>
      </c>
      <c r="AC5" s="8">
        <v>11000</v>
      </c>
      <c r="AD5" s="8">
        <f t="shared" si="2"/>
        <v>11000</v>
      </c>
      <c r="AE5" s="9">
        <f t="shared" si="0"/>
        <v>22000</v>
      </c>
      <c r="AF5" s="5" t="s">
        <v>41</v>
      </c>
      <c r="AG5" s="10" t="s">
        <v>42</v>
      </c>
      <c r="AH5" s="8">
        <f t="shared" si="3"/>
        <v>0</v>
      </c>
      <c r="AI5" s="1"/>
    </row>
    <row r="6" spans="1:37" ht="70.2" customHeight="1">
      <c r="A6" s="5" t="s">
        <v>44</v>
      </c>
      <c r="B6" s="5" t="s">
        <v>45</v>
      </c>
      <c r="C6" s="5">
        <v>6</v>
      </c>
      <c r="D6" s="2" t="s">
        <v>26</v>
      </c>
      <c r="E6" s="161" t="s">
        <v>414</v>
      </c>
      <c r="F6" s="3" t="s">
        <v>46</v>
      </c>
      <c r="G6" s="4" t="s">
        <v>47</v>
      </c>
      <c r="H6" s="5" t="s">
        <v>48</v>
      </c>
      <c r="I6" s="5" t="s">
        <v>49</v>
      </c>
      <c r="J6" s="4" t="s">
        <v>357</v>
      </c>
      <c r="K6" s="102" t="s">
        <v>50</v>
      </c>
      <c r="L6" s="5" t="s">
        <v>51</v>
      </c>
      <c r="M6" s="5" t="s">
        <v>39</v>
      </c>
      <c r="N6" s="6" t="s">
        <v>52</v>
      </c>
      <c r="O6" s="11" t="s">
        <v>35</v>
      </c>
      <c r="P6" s="7">
        <v>1</v>
      </c>
      <c r="Q6" s="8">
        <v>148300</v>
      </c>
      <c r="R6" s="8">
        <f>P6*Q6</f>
        <v>148300</v>
      </c>
      <c r="S6" s="7"/>
      <c r="T6" s="8"/>
      <c r="U6" s="8">
        <f>+S6*T6</f>
        <v>0</v>
      </c>
      <c r="V6" s="7"/>
      <c r="W6" s="8">
        <v>0</v>
      </c>
      <c r="X6" s="8">
        <f t="shared" si="6"/>
        <v>0</v>
      </c>
      <c r="Y6" s="7">
        <v>0</v>
      </c>
      <c r="Z6" s="8">
        <v>0</v>
      </c>
      <c r="AA6" s="8">
        <f t="shared" si="1"/>
        <v>0</v>
      </c>
      <c r="AB6" s="7"/>
      <c r="AC6" s="8">
        <v>0</v>
      </c>
      <c r="AD6" s="8">
        <f t="shared" si="2"/>
        <v>0</v>
      </c>
      <c r="AE6" s="9">
        <f t="shared" si="0"/>
        <v>148300</v>
      </c>
      <c r="AF6" s="5" t="s">
        <v>53</v>
      </c>
      <c r="AG6" s="4" t="s">
        <v>309</v>
      </c>
      <c r="AH6" s="8">
        <f t="shared" ref="AH6:AH97" si="7">+R6+U6+X6</f>
        <v>148300</v>
      </c>
      <c r="AI6" s="1"/>
    </row>
    <row r="7" spans="1:37" ht="70.2" customHeight="1">
      <c r="A7" s="5" t="s">
        <v>24</v>
      </c>
      <c r="B7" s="5" t="s">
        <v>25</v>
      </c>
      <c r="C7" s="11">
        <v>2</v>
      </c>
      <c r="D7" s="5" t="s">
        <v>54</v>
      </c>
      <c r="E7" s="161" t="s">
        <v>414</v>
      </c>
      <c r="F7" s="3" t="s">
        <v>284</v>
      </c>
      <c r="G7" s="4" t="s">
        <v>55</v>
      </c>
      <c r="H7" s="5" t="s">
        <v>56</v>
      </c>
      <c r="I7" s="12" t="s">
        <v>57</v>
      </c>
      <c r="J7" s="12" t="s">
        <v>358</v>
      </c>
      <c r="K7" s="131" t="s">
        <v>291</v>
      </c>
      <c r="L7" s="5" t="s">
        <v>51</v>
      </c>
      <c r="M7" s="5" t="s">
        <v>39</v>
      </c>
      <c r="N7" s="6" t="s">
        <v>40</v>
      </c>
      <c r="O7" s="11" t="s">
        <v>35</v>
      </c>
      <c r="P7" s="35">
        <f>16*7</f>
        <v>112</v>
      </c>
      <c r="Q7" s="9">
        <v>25</v>
      </c>
      <c r="R7" s="8">
        <f>P7*Q7</f>
        <v>2800</v>
      </c>
      <c r="S7" s="13">
        <f>16*7</f>
        <v>112</v>
      </c>
      <c r="T7" s="9">
        <v>25</v>
      </c>
      <c r="U7" s="8">
        <f>S7*T7</f>
        <v>2800</v>
      </c>
      <c r="V7" s="13">
        <f>16*7</f>
        <v>112</v>
      </c>
      <c r="W7" s="9">
        <v>25</v>
      </c>
      <c r="X7" s="8">
        <f>V7*W7</f>
        <v>2800</v>
      </c>
      <c r="Y7" s="13"/>
      <c r="Z7" s="9">
        <v>0</v>
      </c>
      <c r="AA7" s="8">
        <f t="shared" si="1"/>
        <v>0</v>
      </c>
      <c r="AB7" s="13"/>
      <c r="AC7" s="9">
        <v>0</v>
      </c>
      <c r="AD7" s="8">
        <f t="shared" si="2"/>
        <v>0</v>
      </c>
      <c r="AE7" s="9">
        <f t="shared" si="0"/>
        <v>8400</v>
      </c>
      <c r="AF7" s="14" t="s">
        <v>41</v>
      </c>
      <c r="AG7" s="3" t="s">
        <v>294</v>
      </c>
      <c r="AH7" s="8">
        <f t="shared" si="7"/>
        <v>8400</v>
      </c>
      <c r="AI7" s="130">
        <f>AE7</f>
        <v>8400</v>
      </c>
    </row>
    <row r="8" spans="1:37" ht="70.2" customHeight="1">
      <c r="A8" s="5" t="s">
        <v>24</v>
      </c>
      <c r="B8" s="5" t="s">
        <v>25</v>
      </c>
      <c r="C8" s="11">
        <v>2</v>
      </c>
      <c r="D8" s="5" t="s">
        <v>54</v>
      </c>
      <c r="E8" s="161" t="s">
        <v>414</v>
      </c>
      <c r="F8" s="3" t="s">
        <v>284</v>
      </c>
      <c r="G8" s="4" t="s">
        <v>55</v>
      </c>
      <c r="H8" s="5" t="s">
        <v>56</v>
      </c>
      <c r="I8" s="12" t="s">
        <v>57</v>
      </c>
      <c r="J8" s="12" t="s">
        <v>358</v>
      </c>
      <c r="K8" s="102" t="s">
        <v>291</v>
      </c>
      <c r="L8" s="5" t="s">
        <v>51</v>
      </c>
      <c r="M8" s="5" t="s">
        <v>39</v>
      </c>
      <c r="N8" s="6" t="s">
        <v>43</v>
      </c>
      <c r="O8" s="11" t="s">
        <v>35</v>
      </c>
      <c r="P8" s="13"/>
      <c r="Q8" s="9">
        <v>0</v>
      </c>
      <c r="R8" s="8">
        <f t="shared" si="4"/>
        <v>0</v>
      </c>
      <c r="S8" s="13"/>
      <c r="T8" s="9">
        <v>0</v>
      </c>
      <c r="U8" s="8">
        <f t="shared" si="5"/>
        <v>0</v>
      </c>
      <c r="V8" s="13"/>
      <c r="W8" s="9">
        <v>0</v>
      </c>
      <c r="X8" s="8">
        <f t="shared" si="6"/>
        <v>0</v>
      </c>
      <c r="Y8" s="13">
        <v>16</v>
      </c>
      <c r="Z8" s="9">
        <v>25</v>
      </c>
      <c r="AA8" s="8">
        <f t="shared" si="1"/>
        <v>400</v>
      </c>
      <c r="AB8" s="13">
        <v>16</v>
      </c>
      <c r="AC8" s="9">
        <v>25</v>
      </c>
      <c r="AD8" s="8">
        <f t="shared" si="2"/>
        <v>400</v>
      </c>
      <c r="AE8" s="9">
        <f t="shared" si="0"/>
        <v>800</v>
      </c>
      <c r="AF8" s="14" t="s">
        <v>41</v>
      </c>
      <c r="AG8" s="3" t="s">
        <v>58</v>
      </c>
      <c r="AH8" s="8">
        <f t="shared" si="7"/>
        <v>0</v>
      </c>
      <c r="AI8" s="1"/>
    </row>
    <row r="9" spans="1:37" ht="118.2" customHeight="1">
      <c r="A9" s="5" t="s">
        <v>24</v>
      </c>
      <c r="B9" s="5" t="s">
        <v>25</v>
      </c>
      <c r="C9" s="11">
        <v>5</v>
      </c>
      <c r="D9" s="2" t="s">
        <v>26</v>
      </c>
      <c r="E9" s="2" t="s">
        <v>410</v>
      </c>
      <c r="F9" s="3" t="s">
        <v>27</v>
      </c>
      <c r="G9" s="4" t="s">
        <v>28</v>
      </c>
      <c r="H9" s="5" t="s">
        <v>29</v>
      </c>
      <c r="I9" s="5" t="s">
        <v>30</v>
      </c>
      <c r="J9" s="12" t="s">
        <v>358</v>
      </c>
      <c r="K9" s="132" t="s">
        <v>59</v>
      </c>
      <c r="L9" s="5" t="s">
        <v>38</v>
      </c>
      <c r="M9" s="5" t="s">
        <v>39</v>
      </c>
      <c r="N9" s="6" t="s">
        <v>40</v>
      </c>
      <c r="O9" s="11" t="s">
        <v>35</v>
      </c>
      <c r="P9" s="7">
        <v>9000</v>
      </c>
      <c r="Q9" s="8">
        <v>2.5</v>
      </c>
      <c r="R9" s="8">
        <f>P9*Q9</f>
        <v>22500</v>
      </c>
      <c r="S9" s="7">
        <v>0</v>
      </c>
      <c r="T9" s="8">
        <v>0</v>
      </c>
      <c r="U9" s="8">
        <f>S9*T9</f>
        <v>0</v>
      </c>
      <c r="V9" s="7">
        <v>0</v>
      </c>
      <c r="W9" s="8">
        <v>0</v>
      </c>
      <c r="X9" s="8">
        <f>V9*W9</f>
        <v>0</v>
      </c>
      <c r="Y9" s="7">
        <v>0</v>
      </c>
      <c r="Z9" s="8">
        <v>0</v>
      </c>
      <c r="AA9" s="8">
        <f t="shared" si="1"/>
        <v>0</v>
      </c>
      <c r="AB9" s="7">
        <v>0</v>
      </c>
      <c r="AC9" s="8">
        <v>0</v>
      </c>
      <c r="AD9" s="8">
        <f t="shared" si="2"/>
        <v>0</v>
      </c>
      <c r="AE9" s="9">
        <f t="shared" si="0"/>
        <v>22500</v>
      </c>
      <c r="AF9" s="5" t="s">
        <v>41</v>
      </c>
      <c r="AG9" s="10" t="s">
        <v>60</v>
      </c>
      <c r="AH9" s="8">
        <f t="shared" si="7"/>
        <v>22500</v>
      </c>
      <c r="AI9" s="1"/>
      <c r="AK9" s="129">
        <f>(48000-AE9)-15000-8400</f>
        <v>2100</v>
      </c>
    </row>
    <row r="10" spans="1:37" ht="70.2" customHeight="1">
      <c r="A10" s="5" t="s">
        <v>24</v>
      </c>
      <c r="B10" s="5" t="s">
        <v>61</v>
      </c>
      <c r="C10" s="11">
        <v>5</v>
      </c>
      <c r="D10" s="2" t="s">
        <v>26</v>
      </c>
      <c r="E10" s="161" t="s">
        <v>420</v>
      </c>
      <c r="F10" s="3" t="s">
        <v>62</v>
      </c>
      <c r="G10" s="4" t="s">
        <v>47</v>
      </c>
      <c r="H10" s="5" t="s">
        <v>63</v>
      </c>
      <c r="I10" s="5" t="s">
        <v>64</v>
      </c>
      <c r="J10" s="105" t="s">
        <v>359</v>
      </c>
      <c r="K10" s="132" t="s">
        <v>393</v>
      </c>
      <c r="L10" s="5" t="s">
        <v>66</v>
      </c>
      <c r="M10" s="5" t="s">
        <v>39</v>
      </c>
      <c r="N10" s="6" t="s">
        <v>52</v>
      </c>
      <c r="O10" s="5" t="s">
        <v>67</v>
      </c>
      <c r="P10" s="7">
        <v>1</v>
      </c>
      <c r="Q10" s="8">
        <v>57000</v>
      </c>
      <c r="R10" s="8">
        <f>P10*Q10</f>
        <v>57000</v>
      </c>
      <c r="S10" s="7">
        <v>1</v>
      </c>
      <c r="T10" s="8">
        <v>28500</v>
      </c>
      <c r="U10" s="8">
        <f>S10*T10</f>
        <v>28500</v>
      </c>
      <c r="V10" s="7">
        <v>1</v>
      </c>
      <c r="W10" s="8">
        <v>46251</v>
      </c>
      <c r="X10" s="8">
        <f>V10*W10</f>
        <v>46251</v>
      </c>
      <c r="Y10" s="7"/>
      <c r="Z10" s="8">
        <v>0</v>
      </c>
      <c r="AA10" s="8">
        <f t="shared" si="1"/>
        <v>0</v>
      </c>
      <c r="AB10" s="7"/>
      <c r="AC10" s="8">
        <v>0</v>
      </c>
      <c r="AD10" s="8">
        <f t="shared" si="2"/>
        <v>0</v>
      </c>
      <c r="AE10" s="9">
        <f>+R10+U10+X10+AA10+AD10</f>
        <v>131751</v>
      </c>
      <c r="AF10" s="5" t="s">
        <v>41</v>
      </c>
      <c r="AG10" s="3" t="s">
        <v>68</v>
      </c>
      <c r="AH10" s="8">
        <f t="shared" si="7"/>
        <v>131751</v>
      </c>
      <c r="AI10" s="71">
        <f>AE10</f>
        <v>131751</v>
      </c>
    </row>
    <row r="11" spans="1:37" ht="70.2" customHeight="1">
      <c r="A11" s="5" t="s">
        <v>24</v>
      </c>
      <c r="B11" s="5" t="s">
        <v>61</v>
      </c>
      <c r="C11" s="11">
        <v>5</v>
      </c>
      <c r="D11" s="2" t="s">
        <v>26</v>
      </c>
      <c r="E11" s="161" t="s">
        <v>420</v>
      </c>
      <c r="F11" s="3" t="s">
        <v>62</v>
      </c>
      <c r="G11" s="4" t="s">
        <v>47</v>
      </c>
      <c r="H11" s="5" t="s">
        <v>63</v>
      </c>
      <c r="I11" s="5" t="s">
        <v>64</v>
      </c>
      <c r="J11" s="105" t="s">
        <v>359</v>
      </c>
      <c r="K11" s="4" t="s">
        <v>65</v>
      </c>
      <c r="L11" s="5" t="s">
        <v>66</v>
      </c>
      <c r="M11" s="5"/>
      <c r="N11" s="6" t="s">
        <v>43</v>
      </c>
      <c r="O11" s="5" t="s">
        <v>67</v>
      </c>
      <c r="P11" s="7"/>
      <c r="Q11" s="8">
        <v>0</v>
      </c>
      <c r="R11" s="8">
        <f t="shared" si="4"/>
        <v>0</v>
      </c>
      <c r="S11" s="7"/>
      <c r="T11" s="8">
        <v>0</v>
      </c>
      <c r="U11" s="8">
        <f t="shared" si="5"/>
        <v>0</v>
      </c>
      <c r="V11" s="7"/>
      <c r="W11" s="8">
        <v>0</v>
      </c>
      <c r="X11" s="8">
        <f t="shared" si="6"/>
        <v>0</v>
      </c>
      <c r="Y11" s="7">
        <v>700</v>
      </c>
      <c r="Z11" s="8">
        <v>66.09</v>
      </c>
      <c r="AA11" s="8">
        <f t="shared" si="1"/>
        <v>46263</v>
      </c>
      <c r="AB11" s="7">
        <v>500</v>
      </c>
      <c r="AC11" s="8">
        <v>114</v>
      </c>
      <c r="AD11" s="8">
        <f t="shared" si="2"/>
        <v>57000</v>
      </c>
      <c r="AE11" s="9">
        <f t="shared" si="0"/>
        <v>103263</v>
      </c>
      <c r="AF11" s="5" t="s">
        <v>41</v>
      </c>
      <c r="AG11" s="3" t="s">
        <v>68</v>
      </c>
      <c r="AH11" s="8">
        <f t="shared" si="7"/>
        <v>0</v>
      </c>
      <c r="AI11" s="1"/>
    </row>
    <row r="12" spans="1:37" ht="70.2" customHeight="1">
      <c r="A12" s="5" t="s">
        <v>24</v>
      </c>
      <c r="B12" s="5" t="s">
        <v>69</v>
      </c>
      <c r="C12" s="11">
        <v>5</v>
      </c>
      <c r="D12" s="4" t="s">
        <v>70</v>
      </c>
      <c r="E12" s="162" t="s">
        <v>421</v>
      </c>
      <c r="F12" s="3" t="s">
        <v>71</v>
      </c>
      <c r="G12" s="4" t="s">
        <v>72</v>
      </c>
      <c r="H12" s="5" t="s">
        <v>73</v>
      </c>
      <c r="I12" s="5" t="s">
        <v>64</v>
      </c>
      <c r="J12" s="4" t="s">
        <v>360</v>
      </c>
      <c r="K12" s="132" t="s">
        <v>361</v>
      </c>
      <c r="L12" s="5" t="s">
        <v>74</v>
      </c>
      <c r="M12" s="5"/>
      <c r="N12" s="6" t="s">
        <v>40</v>
      </c>
      <c r="O12" s="11" t="s">
        <v>35</v>
      </c>
      <c r="P12" s="5">
        <v>6</v>
      </c>
      <c r="Q12" s="8">
        <v>120</v>
      </c>
      <c r="R12" s="8">
        <f>P12*Q12</f>
        <v>720</v>
      </c>
      <c r="S12" s="7">
        <v>0</v>
      </c>
      <c r="T12" s="8">
        <v>0</v>
      </c>
      <c r="U12" s="8">
        <f>S12*T12</f>
        <v>0</v>
      </c>
      <c r="V12" s="7"/>
      <c r="W12" s="8"/>
      <c r="X12" s="8">
        <f>V12*W12</f>
        <v>0</v>
      </c>
      <c r="Y12" s="7"/>
      <c r="Z12" s="8"/>
      <c r="AA12" s="8">
        <f t="shared" si="1"/>
        <v>0</v>
      </c>
      <c r="AB12" s="7"/>
      <c r="AC12" s="8"/>
      <c r="AD12" s="8">
        <f t="shared" si="2"/>
        <v>0</v>
      </c>
      <c r="AE12" s="9">
        <f t="shared" si="0"/>
        <v>720</v>
      </c>
      <c r="AF12" s="5" t="s">
        <v>41</v>
      </c>
      <c r="AG12" s="4" t="s">
        <v>75</v>
      </c>
      <c r="AH12" s="8">
        <f t="shared" si="7"/>
        <v>720</v>
      </c>
      <c r="AI12" s="1"/>
    </row>
    <row r="13" spans="1:37" ht="70.2" customHeight="1">
      <c r="A13" s="5" t="s">
        <v>24</v>
      </c>
      <c r="B13" s="5" t="s">
        <v>69</v>
      </c>
      <c r="C13" s="5">
        <v>2</v>
      </c>
      <c r="D13" s="4" t="s">
        <v>70</v>
      </c>
      <c r="E13" s="162" t="s">
        <v>421</v>
      </c>
      <c r="F13" s="3" t="s">
        <v>71</v>
      </c>
      <c r="G13" s="4" t="s">
        <v>72</v>
      </c>
      <c r="H13" s="5" t="s">
        <v>73</v>
      </c>
      <c r="I13" s="5" t="s">
        <v>64</v>
      </c>
      <c r="J13" s="4" t="s">
        <v>360</v>
      </c>
      <c r="K13" s="132" t="s">
        <v>392</v>
      </c>
      <c r="L13" s="5" t="s">
        <v>74</v>
      </c>
      <c r="M13" s="5" t="s">
        <v>39</v>
      </c>
      <c r="N13" s="6" t="s">
        <v>43</v>
      </c>
      <c r="O13" s="5" t="s">
        <v>76</v>
      </c>
      <c r="P13" s="7">
        <v>100</v>
      </c>
      <c r="Q13" s="8">
        <v>25</v>
      </c>
      <c r="R13" s="8">
        <f t="shared" si="4"/>
        <v>2500</v>
      </c>
      <c r="S13" s="7">
        <v>100</v>
      </c>
      <c r="T13" s="8">
        <v>25</v>
      </c>
      <c r="U13" s="8">
        <f t="shared" si="5"/>
        <v>2500</v>
      </c>
      <c r="V13" s="7">
        <v>100</v>
      </c>
      <c r="W13" s="8">
        <v>25</v>
      </c>
      <c r="X13" s="8">
        <f t="shared" si="6"/>
        <v>2500</v>
      </c>
      <c r="Y13" s="7"/>
      <c r="Z13" s="8">
        <v>0</v>
      </c>
      <c r="AA13" s="8">
        <f t="shared" si="1"/>
        <v>0</v>
      </c>
      <c r="AB13" s="7"/>
      <c r="AC13" s="8">
        <v>0</v>
      </c>
      <c r="AD13" s="8">
        <f t="shared" si="2"/>
        <v>0</v>
      </c>
      <c r="AE13" s="9">
        <f t="shared" si="0"/>
        <v>7500</v>
      </c>
      <c r="AF13" s="5" t="s">
        <v>41</v>
      </c>
      <c r="AG13" s="4" t="s">
        <v>295</v>
      </c>
      <c r="AH13" s="8">
        <f t="shared" si="7"/>
        <v>7500</v>
      </c>
      <c r="AI13" s="71">
        <f>AE13</f>
        <v>7500</v>
      </c>
    </row>
    <row r="14" spans="1:37" ht="70.2" customHeight="1">
      <c r="A14" s="5" t="s">
        <v>24</v>
      </c>
      <c r="B14" s="5" t="s">
        <v>69</v>
      </c>
      <c r="C14" s="5">
        <v>2</v>
      </c>
      <c r="D14" s="4" t="s">
        <v>70</v>
      </c>
      <c r="E14" s="162" t="s">
        <v>421</v>
      </c>
      <c r="F14" s="3" t="s">
        <v>71</v>
      </c>
      <c r="G14" s="4" t="s">
        <v>72</v>
      </c>
      <c r="H14" s="5" t="s">
        <v>73</v>
      </c>
      <c r="I14" s="5" t="s">
        <v>64</v>
      </c>
      <c r="J14" s="4" t="s">
        <v>360</v>
      </c>
      <c r="K14" s="4" t="s">
        <v>290</v>
      </c>
      <c r="L14" s="5" t="s">
        <v>74</v>
      </c>
      <c r="M14" s="5" t="s">
        <v>39</v>
      </c>
      <c r="N14" s="6" t="s">
        <v>43</v>
      </c>
      <c r="O14" s="5" t="s">
        <v>76</v>
      </c>
      <c r="P14" s="7"/>
      <c r="Q14" s="8">
        <v>0</v>
      </c>
      <c r="R14" s="8">
        <f t="shared" si="4"/>
        <v>0</v>
      </c>
      <c r="S14" s="7"/>
      <c r="T14" s="8">
        <v>0</v>
      </c>
      <c r="U14" s="8">
        <f t="shared" si="5"/>
        <v>0</v>
      </c>
      <c r="V14" s="7"/>
      <c r="W14" s="8">
        <v>0</v>
      </c>
      <c r="X14" s="8">
        <f t="shared" si="6"/>
        <v>0</v>
      </c>
      <c r="Y14" s="7">
        <v>125</v>
      </c>
      <c r="Z14" s="8">
        <v>25</v>
      </c>
      <c r="AA14" s="8">
        <f t="shared" si="1"/>
        <v>3125</v>
      </c>
      <c r="AB14" s="7">
        <v>125</v>
      </c>
      <c r="AC14" s="8">
        <v>25</v>
      </c>
      <c r="AD14" s="8">
        <f t="shared" si="2"/>
        <v>3125</v>
      </c>
      <c r="AE14" s="9">
        <f t="shared" si="0"/>
        <v>6250</v>
      </c>
      <c r="AF14" s="5" t="s">
        <v>41</v>
      </c>
      <c r="AG14" s="4" t="s">
        <v>77</v>
      </c>
      <c r="AH14" s="8">
        <f t="shared" si="7"/>
        <v>0</v>
      </c>
      <c r="AI14" s="1"/>
    </row>
    <row r="15" spans="1:37" ht="70.2" customHeight="1">
      <c r="A15" s="5" t="s">
        <v>24</v>
      </c>
      <c r="B15" s="5" t="s">
        <v>69</v>
      </c>
      <c r="C15" s="5">
        <v>9</v>
      </c>
      <c r="D15" s="4" t="s">
        <v>70</v>
      </c>
      <c r="E15" s="162" t="s">
        <v>421</v>
      </c>
      <c r="F15" s="3" t="s">
        <v>71</v>
      </c>
      <c r="G15" s="4" t="s">
        <v>72</v>
      </c>
      <c r="H15" s="5" t="s">
        <v>73</v>
      </c>
      <c r="I15" s="5" t="s">
        <v>64</v>
      </c>
      <c r="J15" s="4" t="s">
        <v>360</v>
      </c>
      <c r="K15" s="132" t="s">
        <v>362</v>
      </c>
      <c r="L15" s="5" t="s">
        <v>74</v>
      </c>
      <c r="M15" s="5"/>
      <c r="N15" s="6" t="s">
        <v>40</v>
      </c>
      <c r="O15" s="5"/>
      <c r="P15" s="5">
        <v>6</v>
      </c>
      <c r="Q15" s="8">
        <v>300</v>
      </c>
      <c r="R15" s="8">
        <f>P15*Q15</f>
        <v>1800</v>
      </c>
      <c r="S15" s="7">
        <v>0</v>
      </c>
      <c r="T15" s="8">
        <v>0</v>
      </c>
      <c r="U15" s="8">
        <f>S15*T15</f>
        <v>0</v>
      </c>
      <c r="V15" s="7"/>
      <c r="W15" s="8"/>
      <c r="X15" s="8">
        <f>V15*W15</f>
        <v>0</v>
      </c>
      <c r="Y15" s="7"/>
      <c r="Z15" s="8">
        <v>0</v>
      </c>
      <c r="AA15" s="8">
        <f t="shared" si="1"/>
        <v>0</v>
      </c>
      <c r="AB15" s="7"/>
      <c r="AC15" s="8"/>
      <c r="AD15" s="8">
        <f t="shared" si="2"/>
        <v>0</v>
      </c>
      <c r="AE15" s="9">
        <f t="shared" si="0"/>
        <v>1800</v>
      </c>
      <c r="AF15" s="5" t="s">
        <v>41</v>
      </c>
      <c r="AG15" s="4" t="s">
        <v>296</v>
      </c>
      <c r="AH15" s="8">
        <f t="shared" si="7"/>
        <v>1800</v>
      </c>
      <c r="AI15" s="1"/>
    </row>
    <row r="16" spans="1:37" ht="70.2" customHeight="1">
      <c r="A16" s="5" t="s">
        <v>78</v>
      </c>
      <c r="B16" s="5" t="s">
        <v>79</v>
      </c>
      <c r="C16" s="11">
        <v>10</v>
      </c>
      <c r="D16" s="2" t="s">
        <v>26</v>
      </c>
      <c r="E16" s="162" t="s">
        <v>415</v>
      </c>
      <c r="F16" s="3" t="s">
        <v>80</v>
      </c>
      <c r="G16" s="4" t="s">
        <v>47</v>
      </c>
      <c r="H16" s="15" t="s">
        <v>81</v>
      </c>
      <c r="I16" s="102" t="s">
        <v>82</v>
      </c>
      <c r="J16" s="102" t="s">
        <v>357</v>
      </c>
      <c r="K16" s="102" t="s">
        <v>83</v>
      </c>
      <c r="L16" s="5" t="s">
        <v>84</v>
      </c>
      <c r="M16" s="5" t="s">
        <v>39</v>
      </c>
      <c r="N16" s="6" t="s">
        <v>52</v>
      </c>
      <c r="O16" s="11" t="s">
        <v>35</v>
      </c>
      <c r="P16" s="7">
        <v>1</v>
      </c>
      <c r="Q16" s="8">
        <v>10000</v>
      </c>
      <c r="R16" s="8">
        <f>P16*Q16</f>
        <v>10000</v>
      </c>
      <c r="S16" s="7">
        <v>1</v>
      </c>
      <c r="T16" s="8">
        <v>10000</v>
      </c>
      <c r="U16" s="8">
        <f>S16*T16</f>
        <v>10000</v>
      </c>
      <c r="V16" s="7">
        <v>1</v>
      </c>
      <c r="W16" s="8">
        <v>10000</v>
      </c>
      <c r="X16" s="8">
        <f>V16*W16</f>
        <v>10000</v>
      </c>
      <c r="Y16" s="7">
        <v>0</v>
      </c>
      <c r="Z16" s="8"/>
      <c r="AA16" s="8">
        <f t="shared" si="1"/>
        <v>0</v>
      </c>
      <c r="AB16" s="7">
        <v>1</v>
      </c>
      <c r="AC16" s="8">
        <v>0</v>
      </c>
      <c r="AD16" s="8">
        <f t="shared" si="2"/>
        <v>0</v>
      </c>
      <c r="AE16" s="9">
        <f t="shared" si="0"/>
        <v>30000</v>
      </c>
      <c r="AF16" s="5" t="s">
        <v>41</v>
      </c>
      <c r="AG16" s="16" t="s">
        <v>85</v>
      </c>
      <c r="AH16" s="8">
        <f t="shared" si="7"/>
        <v>30000</v>
      </c>
      <c r="AI16" s="1"/>
    </row>
    <row r="17" spans="1:35" ht="70.2" customHeight="1">
      <c r="A17" s="5" t="s">
        <v>78</v>
      </c>
      <c r="B17" s="5" t="s">
        <v>79</v>
      </c>
      <c r="C17" s="11">
        <v>3</v>
      </c>
      <c r="D17" s="2" t="s">
        <v>26</v>
      </c>
      <c r="E17" s="162" t="s">
        <v>415</v>
      </c>
      <c r="F17" s="3" t="s">
        <v>80</v>
      </c>
      <c r="G17" s="4" t="s">
        <v>47</v>
      </c>
      <c r="H17" s="15" t="s">
        <v>81</v>
      </c>
      <c r="I17" s="102" t="s">
        <v>82</v>
      </c>
      <c r="J17" s="102" t="s">
        <v>357</v>
      </c>
      <c r="K17" s="102" t="s">
        <v>83</v>
      </c>
      <c r="L17" s="5" t="s">
        <v>84</v>
      </c>
      <c r="M17" s="5" t="s">
        <v>86</v>
      </c>
      <c r="N17" s="6" t="s">
        <v>43</v>
      </c>
      <c r="O17" s="5"/>
      <c r="P17" s="7">
        <v>0</v>
      </c>
      <c r="Q17" s="8">
        <v>0</v>
      </c>
      <c r="R17" s="8">
        <f t="shared" si="4"/>
        <v>0</v>
      </c>
      <c r="S17" s="7">
        <v>0</v>
      </c>
      <c r="T17" s="8">
        <v>0</v>
      </c>
      <c r="U17" s="8">
        <f t="shared" si="5"/>
        <v>0</v>
      </c>
      <c r="V17" s="7">
        <v>0</v>
      </c>
      <c r="W17" s="8">
        <v>0</v>
      </c>
      <c r="X17" s="8">
        <f t="shared" si="6"/>
        <v>0</v>
      </c>
      <c r="Y17" s="7">
        <v>1</v>
      </c>
      <c r="Z17" s="8">
        <v>10000</v>
      </c>
      <c r="AA17" s="8">
        <f t="shared" si="1"/>
        <v>10000</v>
      </c>
      <c r="AB17" s="7">
        <v>1</v>
      </c>
      <c r="AC17" s="8">
        <v>10000</v>
      </c>
      <c r="AD17" s="8">
        <f t="shared" si="2"/>
        <v>10000</v>
      </c>
      <c r="AE17" s="9">
        <f t="shared" si="0"/>
        <v>20000</v>
      </c>
      <c r="AF17" s="5" t="s">
        <v>41</v>
      </c>
      <c r="AG17" s="16" t="s">
        <v>298</v>
      </c>
      <c r="AH17" s="8">
        <f t="shared" si="7"/>
        <v>0</v>
      </c>
      <c r="AI17" s="1"/>
    </row>
    <row r="18" spans="1:35" ht="70.2" customHeight="1">
      <c r="A18" s="5" t="s">
        <v>78</v>
      </c>
      <c r="B18" s="5" t="s">
        <v>79</v>
      </c>
      <c r="C18" s="11">
        <v>2</v>
      </c>
      <c r="D18" s="2" t="s">
        <v>153</v>
      </c>
      <c r="E18" s="165" t="s">
        <v>424</v>
      </c>
      <c r="F18" s="4" t="s">
        <v>46</v>
      </c>
      <c r="G18" s="4" t="s">
        <v>47</v>
      </c>
      <c r="H18" s="4" t="s">
        <v>87</v>
      </c>
      <c r="I18" s="4" t="s">
        <v>88</v>
      </c>
      <c r="J18" s="4" t="s">
        <v>364</v>
      </c>
      <c r="K18" s="132" t="s">
        <v>394</v>
      </c>
      <c r="L18" s="5" t="s">
        <v>66</v>
      </c>
      <c r="M18" s="5" t="s">
        <v>39</v>
      </c>
      <c r="N18" s="6" t="s">
        <v>52</v>
      </c>
      <c r="O18" s="5" t="s">
        <v>67</v>
      </c>
      <c r="P18" s="7">
        <v>600</v>
      </c>
      <c r="Q18" s="8">
        <v>25</v>
      </c>
      <c r="R18" s="8">
        <f>P18*Q18</f>
        <v>15000</v>
      </c>
      <c r="S18" s="7">
        <v>600</v>
      </c>
      <c r="T18" s="8">
        <v>25</v>
      </c>
      <c r="U18" s="8">
        <f>S18*T18</f>
        <v>15000</v>
      </c>
      <c r="V18" s="7">
        <v>600</v>
      </c>
      <c r="W18" s="8">
        <v>25</v>
      </c>
      <c r="X18" s="8">
        <f>V18*W18</f>
        <v>15000</v>
      </c>
      <c r="Y18" s="7"/>
      <c r="Z18" s="8">
        <v>0</v>
      </c>
      <c r="AA18" s="8">
        <f t="shared" si="1"/>
        <v>0</v>
      </c>
      <c r="AB18" s="7"/>
      <c r="AC18" s="8">
        <v>0</v>
      </c>
      <c r="AD18" s="8">
        <f t="shared" si="2"/>
        <v>0</v>
      </c>
      <c r="AE18" s="9">
        <f t="shared" si="0"/>
        <v>45000</v>
      </c>
      <c r="AF18" s="5" t="s">
        <v>41</v>
      </c>
      <c r="AG18" s="4" t="s">
        <v>289</v>
      </c>
      <c r="AH18" s="8">
        <f t="shared" si="7"/>
        <v>45000</v>
      </c>
      <c r="AI18" s="71">
        <f>AE18</f>
        <v>45000</v>
      </c>
    </row>
    <row r="19" spans="1:35" ht="70.2" customHeight="1">
      <c r="A19" s="5" t="s">
        <v>78</v>
      </c>
      <c r="B19" s="5" t="s">
        <v>79</v>
      </c>
      <c r="C19" s="11">
        <v>2</v>
      </c>
      <c r="D19" s="2" t="s">
        <v>153</v>
      </c>
      <c r="E19" s="165" t="s">
        <v>424</v>
      </c>
      <c r="F19" s="4" t="s">
        <v>46</v>
      </c>
      <c r="G19" s="4" t="s">
        <v>47</v>
      </c>
      <c r="H19" s="4" t="s">
        <v>87</v>
      </c>
      <c r="I19" s="4" t="s">
        <v>88</v>
      </c>
      <c r="J19" s="4" t="s">
        <v>364</v>
      </c>
      <c r="K19" s="4" t="s">
        <v>292</v>
      </c>
      <c r="L19" s="5" t="s">
        <v>66</v>
      </c>
      <c r="M19" s="5" t="s">
        <v>39</v>
      </c>
      <c r="N19" s="6" t="s">
        <v>43</v>
      </c>
      <c r="O19" s="5" t="s">
        <v>67</v>
      </c>
      <c r="P19" s="7"/>
      <c r="Q19" s="8">
        <v>0</v>
      </c>
      <c r="R19" s="8">
        <f t="shared" si="4"/>
        <v>0</v>
      </c>
      <c r="S19" s="7"/>
      <c r="T19" s="8">
        <v>0</v>
      </c>
      <c r="U19" s="8">
        <f t="shared" si="5"/>
        <v>0</v>
      </c>
      <c r="V19" s="7"/>
      <c r="W19" s="8">
        <v>0</v>
      </c>
      <c r="X19" s="8">
        <f t="shared" si="6"/>
        <v>0</v>
      </c>
      <c r="Y19" s="7">
        <v>635</v>
      </c>
      <c r="Z19" s="8">
        <v>25</v>
      </c>
      <c r="AA19" s="8">
        <f t="shared" si="1"/>
        <v>15875</v>
      </c>
      <c r="AB19" s="7">
        <v>635</v>
      </c>
      <c r="AC19" s="8">
        <v>25</v>
      </c>
      <c r="AD19" s="8">
        <f t="shared" si="2"/>
        <v>15875</v>
      </c>
      <c r="AE19" s="9">
        <f t="shared" si="0"/>
        <v>31750</v>
      </c>
      <c r="AF19" s="5" t="s">
        <v>41</v>
      </c>
      <c r="AG19" s="4" t="s">
        <v>288</v>
      </c>
      <c r="AH19" s="8">
        <f t="shared" si="7"/>
        <v>0</v>
      </c>
      <c r="AI19" s="1"/>
    </row>
    <row r="20" spans="1:35" ht="70.2" customHeight="1">
      <c r="A20" s="5" t="s">
        <v>89</v>
      </c>
      <c r="B20" s="5" t="s">
        <v>90</v>
      </c>
      <c r="C20" s="11">
        <v>5</v>
      </c>
      <c r="D20" s="2" t="s">
        <v>26</v>
      </c>
      <c r="E20" s="161" t="s">
        <v>418</v>
      </c>
      <c r="F20" s="4" t="s">
        <v>91</v>
      </c>
      <c r="G20" s="4" t="s">
        <v>92</v>
      </c>
      <c r="H20" s="4" t="s">
        <v>93</v>
      </c>
      <c r="I20" s="4" t="s">
        <v>94</v>
      </c>
      <c r="J20" s="4" t="s">
        <v>365</v>
      </c>
      <c r="K20" s="132" t="s">
        <v>391</v>
      </c>
      <c r="L20" s="5" t="s">
        <v>95</v>
      </c>
      <c r="M20" s="5" t="s">
        <v>39</v>
      </c>
      <c r="N20" s="6" t="s">
        <v>40</v>
      </c>
      <c r="O20" s="5" t="s">
        <v>67</v>
      </c>
      <c r="P20" s="7">
        <v>500</v>
      </c>
      <c r="Q20" s="8">
        <v>10</v>
      </c>
      <c r="R20" s="8">
        <f>P20*Q20</f>
        <v>5000</v>
      </c>
      <c r="S20" s="7">
        <v>500</v>
      </c>
      <c r="T20" s="8">
        <v>10</v>
      </c>
      <c r="U20" s="8">
        <f>S20*T20</f>
        <v>5000</v>
      </c>
      <c r="V20" s="7">
        <v>500</v>
      </c>
      <c r="W20" s="8">
        <v>10</v>
      </c>
      <c r="X20" s="8">
        <f>V20*W20</f>
        <v>5000</v>
      </c>
      <c r="Y20" s="7">
        <v>0</v>
      </c>
      <c r="Z20" s="8">
        <v>0</v>
      </c>
      <c r="AA20" s="8">
        <f t="shared" si="1"/>
        <v>0</v>
      </c>
      <c r="AB20" s="7">
        <v>0</v>
      </c>
      <c r="AC20" s="8">
        <v>0</v>
      </c>
      <c r="AD20" s="8">
        <f t="shared" si="2"/>
        <v>0</v>
      </c>
      <c r="AE20" s="9">
        <f t="shared" si="0"/>
        <v>15000</v>
      </c>
      <c r="AF20" s="5" t="s">
        <v>53</v>
      </c>
      <c r="AG20" s="4" t="s">
        <v>390</v>
      </c>
      <c r="AH20" s="8">
        <f t="shared" si="7"/>
        <v>15000</v>
      </c>
      <c r="AI20" s="130"/>
    </row>
    <row r="21" spans="1:35" ht="70.2" customHeight="1">
      <c r="A21" s="5" t="s">
        <v>89</v>
      </c>
      <c r="B21" s="5" t="s">
        <v>90</v>
      </c>
      <c r="C21" s="11">
        <v>5</v>
      </c>
      <c r="D21" s="2" t="s">
        <v>26</v>
      </c>
      <c r="E21" s="161" t="s">
        <v>418</v>
      </c>
      <c r="F21" s="4" t="s">
        <v>91</v>
      </c>
      <c r="G21" s="4" t="s">
        <v>92</v>
      </c>
      <c r="H21" s="4" t="s">
        <v>93</v>
      </c>
      <c r="I21" s="4" t="s">
        <v>94</v>
      </c>
      <c r="J21" s="4" t="s">
        <v>365</v>
      </c>
      <c r="K21" s="4" t="s">
        <v>312</v>
      </c>
      <c r="L21" s="5" t="s">
        <v>95</v>
      </c>
      <c r="M21" s="5" t="s">
        <v>39</v>
      </c>
      <c r="N21" s="6" t="s">
        <v>43</v>
      </c>
      <c r="O21" s="5" t="s">
        <v>67</v>
      </c>
      <c r="P21" s="7">
        <v>0</v>
      </c>
      <c r="Q21" s="8">
        <v>0</v>
      </c>
      <c r="R21" s="8">
        <f t="shared" ref="R21" si="8">P21*Q21</f>
        <v>0</v>
      </c>
      <c r="S21" s="7">
        <v>0</v>
      </c>
      <c r="T21" s="8">
        <v>0</v>
      </c>
      <c r="U21" s="8">
        <f t="shared" ref="U21" si="9">+S21*T21</f>
        <v>0</v>
      </c>
      <c r="V21" s="7">
        <v>0</v>
      </c>
      <c r="W21" s="8">
        <v>0</v>
      </c>
      <c r="X21" s="8">
        <f t="shared" ref="X21" si="10">+V21*W21</f>
        <v>0</v>
      </c>
      <c r="Y21" s="7">
        <v>800</v>
      </c>
      <c r="Z21" s="8">
        <v>10</v>
      </c>
      <c r="AA21" s="8">
        <f>Y21*Z21</f>
        <v>8000</v>
      </c>
      <c r="AB21" s="7">
        <v>800</v>
      </c>
      <c r="AC21" s="8">
        <v>10</v>
      </c>
      <c r="AD21" s="8">
        <f>AB21*AC21</f>
        <v>8000</v>
      </c>
      <c r="AE21" s="9">
        <f t="shared" si="0"/>
        <v>16000</v>
      </c>
      <c r="AF21" s="5" t="s">
        <v>53</v>
      </c>
      <c r="AG21" s="4" t="s">
        <v>96</v>
      </c>
      <c r="AH21" s="8">
        <f t="shared" si="7"/>
        <v>0</v>
      </c>
      <c r="AI21" s="1"/>
    </row>
    <row r="22" spans="1:35" ht="70.2" customHeight="1">
      <c r="A22" s="5" t="s">
        <v>44</v>
      </c>
      <c r="B22" s="5" t="s">
        <v>45</v>
      </c>
      <c r="C22" s="11">
        <v>5</v>
      </c>
      <c r="D22" s="5" t="s">
        <v>54</v>
      </c>
      <c r="E22" s="161" t="s">
        <v>414</v>
      </c>
      <c r="F22" s="4" t="s">
        <v>285</v>
      </c>
      <c r="G22" s="4" t="s">
        <v>97</v>
      </c>
      <c r="H22" s="4" t="s">
        <v>98</v>
      </c>
      <c r="I22" s="102" t="s">
        <v>82</v>
      </c>
      <c r="J22" s="102" t="s">
        <v>347</v>
      </c>
      <c r="K22" s="106" t="s">
        <v>310</v>
      </c>
      <c r="L22" s="5" t="s">
        <v>99</v>
      </c>
      <c r="M22" s="5" t="s">
        <v>100</v>
      </c>
      <c r="N22" s="6" t="s">
        <v>34</v>
      </c>
      <c r="O22" s="11" t="s">
        <v>35</v>
      </c>
      <c r="P22" s="7">
        <v>150000</v>
      </c>
      <c r="Q22" s="8">
        <v>0.2</v>
      </c>
      <c r="R22" s="8">
        <f>P22*Q22</f>
        <v>30000</v>
      </c>
      <c r="S22" s="7">
        <v>150000</v>
      </c>
      <c r="T22" s="8">
        <v>0.2</v>
      </c>
      <c r="U22" s="8">
        <f>+S22*T22</f>
        <v>30000</v>
      </c>
      <c r="V22" s="7">
        <v>150000</v>
      </c>
      <c r="W22" s="8">
        <v>0.2</v>
      </c>
      <c r="X22" s="8">
        <f>+V22*W22</f>
        <v>30000</v>
      </c>
      <c r="Y22" s="7">
        <v>150000</v>
      </c>
      <c r="Z22" s="8">
        <v>0.2</v>
      </c>
      <c r="AA22" s="8">
        <f>+Y22*Z22</f>
        <v>30000</v>
      </c>
      <c r="AB22" s="7">
        <v>150000</v>
      </c>
      <c r="AC22" s="8">
        <v>0.2</v>
      </c>
      <c r="AD22" s="8">
        <f>+AB22*AC22</f>
        <v>30000</v>
      </c>
      <c r="AE22" s="9">
        <f t="shared" si="0"/>
        <v>150000</v>
      </c>
      <c r="AF22" s="5" t="s">
        <v>41</v>
      </c>
      <c r="AG22" s="107" t="s">
        <v>101</v>
      </c>
      <c r="AH22" s="8">
        <f>+R22+U22+X22</f>
        <v>90000</v>
      </c>
      <c r="AI22" s="1"/>
    </row>
    <row r="23" spans="1:35" ht="70.2" customHeight="1">
      <c r="A23" s="5" t="s">
        <v>24</v>
      </c>
      <c r="B23" s="5" t="s">
        <v>25</v>
      </c>
      <c r="C23" s="11">
        <v>5</v>
      </c>
      <c r="D23" s="5" t="s">
        <v>54</v>
      </c>
      <c r="E23" s="5" t="s">
        <v>410</v>
      </c>
      <c r="F23" s="4" t="s">
        <v>285</v>
      </c>
      <c r="G23" s="4" t="s">
        <v>97</v>
      </c>
      <c r="H23" s="4" t="s">
        <v>98</v>
      </c>
      <c r="I23" s="102" t="s">
        <v>82</v>
      </c>
      <c r="J23" s="12" t="s">
        <v>358</v>
      </c>
      <c r="K23" s="131" t="s">
        <v>399</v>
      </c>
      <c r="L23" s="5" t="s">
        <v>99</v>
      </c>
      <c r="M23" s="5" t="s">
        <v>100</v>
      </c>
      <c r="N23" s="6" t="s">
        <v>40</v>
      </c>
      <c r="O23" s="11" t="s">
        <v>35</v>
      </c>
      <c r="P23" s="7">
        <v>50000</v>
      </c>
      <c r="Q23" s="8">
        <v>0.2</v>
      </c>
      <c r="R23" s="8">
        <f t="shared" si="4"/>
        <v>10000</v>
      </c>
      <c r="S23" s="7">
        <v>50000</v>
      </c>
      <c r="T23" s="8">
        <v>0.2</v>
      </c>
      <c r="U23" s="8">
        <f t="shared" ref="U23:U24" si="11">S23*T23</f>
        <v>10000</v>
      </c>
      <c r="V23" s="7">
        <v>50000</v>
      </c>
      <c r="W23" s="8">
        <v>0.2</v>
      </c>
      <c r="X23" s="8">
        <f t="shared" ref="X23:X24" si="12">V23*W23</f>
        <v>10000</v>
      </c>
      <c r="Y23" s="7"/>
      <c r="Z23" s="8">
        <v>0</v>
      </c>
      <c r="AA23" s="8">
        <f t="shared" si="1"/>
        <v>0</v>
      </c>
      <c r="AB23" s="7"/>
      <c r="AC23" s="8">
        <v>0</v>
      </c>
      <c r="AD23" s="8">
        <f t="shared" si="2"/>
        <v>0</v>
      </c>
      <c r="AE23" s="9">
        <f t="shared" si="0"/>
        <v>30000</v>
      </c>
      <c r="AF23" s="5" t="s">
        <v>41</v>
      </c>
      <c r="AG23" s="107" t="s">
        <v>101</v>
      </c>
      <c r="AH23" s="8">
        <f>+R23+U23+X23</f>
        <v>30000</v>
      </c>
      <c r="AI23" s="1"/>
    </row>
    <row r="24" spans="1:35" ht="70.2" customHeight="1">
      <c r="A24" s="5" t="s">
        <v>44</v>
      </c>
      <c r="B24" s="5" t="s">
        <v>111</v>
      </c>
      <c r="C24" s="11">
        <v>5</v>
      </c>
      <c r="D24" s="5" t="s">
        <v>54</v>
      </c>
      <c r="E24" s="166" t="s">
        <v>414</v>
      </c>
      <c r="F24" s="4" t="s">
        <v>286</v>
      </c>
      <c r="G24" s="4" t="s">
        <v>102</v>
      </c>
      <c r="H24" s="4" t="s">
        <v>103</v>
      </c>
      <c r="I24" s="102" t="s">
        <v>104</v>
      </c>
      <c r="J24" s="102" t="s">
        <v>364</v>
      </c>
      <c r="K24" s="131" t="s">
        <v>105</v>
      </c>
      <c r="L24" s="5" t="s">
        <v>106</v>
      </c>
      <c r="M24" s="5" t="s">
        <v>100</v>
      </c>
      <c r="N24" s="6" t="s">
        <v>40</v>
      </c>
      <c r="O24" s="11" t="s">
        <v>35</v>
      </c>
      <c r="P24" s="7">
        <v>1</v>
      </c>
      <c r="Q24" s="8">
        <v>24915.38</v>
      </c>
      <c r="R24" s="8">
        <f t="shared" si="4"/>
        <v>24915.38</v>
      </c>
      <c r="S24" s="7">
        <v>1</v>
      </c>
      <c r="T24" s="8">
        <v>24984.94</v>
      </c>
      <c r="U24" s="8">
        <f t="shared" si="11"/>
        <v>24984.94</v>
      </c>
      <c r="V24" s="7">
        <v>1</v>
      </c>
      <c r="W24" s="8">
        <v>26752.22</v>
      </c>
      <c r="X24" s="8">
        <f t="shared" si="12"/>
        <v>26752.22</v>
      </c>
      <c r="Y24" s="7"/>
      <c r="Z24" s="8">
        <v>0</v>
      </c>
      <c r="AA24" s="8">
        <f t="shared" si="1"/>
        <v>0</v>
      </c>
      <c r="AB24" s="7"/>
      <c r="AC24" s="8">
        <v>0</v>
      </c>
      <c r="AD24" s="8">
        <f t="shared" si="2"/>
        <v>0</v>
      </c>
      <c r="AE24" s="9">
        <f t="shared" si="0"/>
        <v>76652.540000000008</v>
      </c>
      <c r="AF24" s="5" t="s">
        <v>53</v>
      </c>
      <c r="AG24" s="4" t="s">
        <v>107</v>
      </c>
      <c r="AH24" s="8">
        <f t="shared" si="7"/>
        <v>76652.540000000008</v>
      </c>
      <c r="AI24" s="1"/>
    </row>
    <row r="25" spans="1:35" ht="70.2" customHeight="1">
      <c r="A25" s="5" t="s">
        <v>44</v>
      </c>
      <c r="B25" s="5" t="s">
        <v>111</v>
      </c>
      <c r="C25" s="11">
        <v>5</v>
      </c>
      <c r="D25" s="5" t="s">
        <v>54</v>
      </c>
      <c r="E25" s="166" t="s">
        <v>414</v>
      </c>
      <c r="F25" s="4" t="s">
        <v>286</v>
      </c>
      <c r="G25" s="4" t="s">
        <v>102</v>
      </c>
      <c r="H25" s="4" t="s">
        <v>103</v>
      </c>
      <c r="I25" s="102" t="s">
        <v>104</v>
      </c>
      <c r="J25" s="102" t="s">
        <v>364</v>
      </c>
      <c r="K25" s="102" t="s">
        <v>105</v>
      </c>
      <c r="L25" s="5" t="s">
        <v>106</v>
      </c>
      <c r="M25" s="5" t="s">
        <v>100</v>
      </c>
      <c r="N25" s="6" t="s">
        <v>43</v>
      </c>
      <c r="O25" s="11" t="s">
        <v>35</v>
      </c>
      <c r="P25" s="7"/>
      <c r="Q25" s="8">
        <v>0</v>
      </c>
      <c r="R25" s="8">
        <f t="shared" si="4"/>
        <v>0</v>
      </c>
      <c r="S25" s="7"/>
      <c r="T25" s="8">
        <v>0</v>
      </c>
      <c r="U25" s="8">
        <f t="shared" si="5"/>
        <v>0</v>
      </c>
      <c r="V25" s="7"/>
      <c r="W25" s="8">
        <v>0</v>
      </c>
      <c r="X25" s="8">
        <f t="shared" si="6"/>
        <v>0</v>
      </c>
      <c r="Y25" s="7">
        <v>1</v>
      </c>
      <c r="Z25" s="8">
        <v>25000</v>
      </c>
      <c r="AA25" s="8">
        <f>Y25*Z25</f>
        <v>25000</v>
      </c>
      <c r="AB25" s="7">
        <v>1</v>
      </c>
      <c r="AC25" s="8">
        <v>25000</v>
      </c>
      <c r="AD25" s="8">
        <f>AB25*AC25</f>
        <v>25000</v>
      </c>
      <c r="AE25" s="9">
        <f t="shared" si="0"/>
        <v>50000</v>
      </c>
      <c r="AF25" s="5" t="s">
        <v>53</v>
      </c>
      <c r="AG25" s="4" t="s">
        <v>107</v>
      </c>
      <c r="AH25" s="8">
        <f t="shared" si="7"/>
        <v>0</v>
      </c>
      <c r="AI25" s="1"/>
    </row>
    <row r="26" spans="1:35" ht="108.6" customHeight="1">
      <c r="A26" s="5" t="s">
        <v>24</v>
      </c>
      <c r="B26" s="5" t="s">
        <v>25</v>
      </c>
      <c r="C26" s="11">
        <v>5</v>
      </c>
      <c r="D26" s="5" t="s">
        <v>54</v>
      </c>
      <c r="E26" s="2" t="s">
        <v>410</v>
      </c>
      <c r="F26" s="4" t="s">
        <v>287</v>
      </c>
      <c r="G26" s="4" t="s">
        <v>108</v>
      </c>
      <c r="H26" s="4" t="s">
        <v>98</v>
      </c>
      <c r="I26" s="102" t="s">
        <v>109</v>
      </c>
      <c r="J26" s="12" t="s">
        <v>358</v>
      </c>
      <c r="K26" s="131" t="s">
        <v>400</v>
      </c>
      <c r="L26" s="5" t="s">
        <v>99</v>
      </c>
      <c r="M26" s="5" t="s">
        <v>100</v>
      </c>
      <c r="N26" s="6" t="s">
        <v>40</v>
      </c>
      <c r="O26" s="11" t="s">
        <v>35</v>
      </c>
      <c r="P26" s="7">
        <v>32000</v>
      </c>
      <c r="Q26" s="8">
        <v>8</v>
      </c>
      <c r="R26" s="8">
        <f>P26*Q26</f>
        <v>256000</v>
      </c>
      <c r="S26" s="7">
        <v>32000</v>
      </c>
      <c r="T26" s="8">
        <v>8</v>
      </c>
      <c r="U26" s="8">
        <f>S26*T26</f>
        <v>256000</v>
      </c>
      <c r="V26" s="7">
        <v>27000</v>
      </c>
      <c r="W26" s="8">
        <v>8</v>
      </c>
      <c r="X26" s="8">
        <f>V26*W26</f>
        <v>216000</v>
      </c>
      <c r="Y26" s="7"/>
      <c r="Z26" s="8">
        <v>0</v>
      </c>
      <c r="AA26" s="8">
        <f t="shared" si="1"/>
        <v>0</v>
      </c>
      <c r="AB26" s="7"/>
      <c r="AC26" s="8">
        <v>0</v>
      </c>
      <c r="AD26" s="8">
        <f t="shared" si="2"/>
        <v>0</v>
      </c>
      <c r="AE26" s="9">
        <f t="shared" si="0"/>
        <v>728000</v>
      </c>
      <c r="AF26" s="5" t="s">
        <v>53</v>
      </c>
      <c r="AG26" s="3" t="s">
        <v>314</v>
      </c>
      <c r="AH26" s="8">
        <f t="shared" si="7"/>
        <v>728000</v>
      </c>
      <c r="AI26" s="1"/>
    </row>
    <row r="27" spans="1:35" ht="70.2" customHeight="1">
      <c r="A27" s="5" t="s">
        <v>24</v>
      </c>
      <c r="B27" s="5" t="s">
        <v>25</v>
      </c>
      <c r="C27" s="11">
        <v>5</v>
      </c>
      <c r="D27" s="5" t="s">
        <v>54</v>
      </c>
      <c r="E27" s="2" t="s">
        <v>410</v>
      </c>
      <c r="F27" s="4" t="s">
        <v>287</v>
      </c>
      <c r="G27" s="4" t="s">
        <v>108</v>
      </c>
      <c r="H27" s="4" t="s">
        <v>98</v>
      </c>
      <c r="I27" s="102" t="s">
        <v>109</v>
      </c>
      <c r="J27" s="12" t="s">
        <v>358</v>
      </c>
      <c r="K27" s="102" t="s">
        <v>305</v>
      </c>
      <c r="L27" s="5" t="s">
        <v>99</v>
      </c>
      <c r="M27" s="5" t="s">
        <v>100</v>
      </c>
      <c r="N27" s="6" t="s">
        <v>43</v>
      </c>
      <c r="O27" s="11" t="s">
        <v>35</v>
      </c>
      <c r="P27" s="7"/>
      <c r="Q27" s="8">
        <v>0</v>
      </c>
      <c r="R27" s="8">
        <f t="shared" si="4"/>
        <v>0</v>
      </c>
      <c r="S27" s="7"/>
      <c r="T27" s="8">
        <v>0</v>
      </c>
      <c r="U27" s="8">
        <f t="shared" si="5"/>
        <v>0</v>
      </c>
      <c r="V27" s="7"/>
      <c r="W27" s="8">
        <v>0</v>
      </c>
      <c r="X27" s="8">
        <f t="shared" si="6"/>
        <v>0</v>
      </c>
      <c r="Y27" s="7">
        <v>27000</v>
      </c>
      <c r="Z27" s="8">
        <v>8</v>
      </c>
      <c r="AA27" s="8">
        <f>Y27*Z27</f>
        <v>216000</v>
      </c>
      <c r="AB27" s="7">
        <v>27000</v>
      </c>
      <c r="AC27" s="8">
        <v>8</v>
      </c>
      <c r="AD27" s="8">
        <f>AB27*AC27</f>
        <v>216000</v>
      </c>
      <c r="AE27" s="9">
        <f t="shared" si="0"/>
        <v>432000</v>
      </c>
      <c r="AF27" s="5" t="s">
        <v>53</v>
      </c>
      <c r="AG27" s="3" t="s">
        <v>110</v>
      </c>
      <c r="AH27" s="8">
        <f t="shared" si="7"/>
        <v>0</v>
      </c>
      <c r="AI27" s="1"/>
    </row>
    <row r="28" spans="1:35" ht="70.2" customHeight="1">
      <c r="A28" s="5" t="s">
        <v>44</v>
      </c>
      <c r="B28" s="5" t="s">
        <v>45</v>
      </c>
      <c r="C28" s="11">
        <v>5</v>
      </c>
      <c r="D28" s="5" t="s">
        <v>54</v>
      </c>
      <c r="E28" s="2" t="s">
        <v>410</v>
      </c>
      <c r="F28" s="4" t="s">
        <v>287</v>
      </c>
      <c r="G28" s="4" t="s">
        <v>108</v>
      </c>
      <c r="H28" s="4" t="s">
        <v>98</v>
      </c>
      <c r="I28" s="102" t="s">
        <v>109</v>
      </c>
      <c r="J28" s="12" t="s">
        <v>358</v>
      </c>
      <c r="K28" s="102" t="s">
        <v>305</v>
      </c>
      <c r="L28" s="5" t="s">
        <v>99</v>
      </c>
      <c r="M28" s="5"/>
      <c r="N28" s="6" t="s">
        <v>34</v>
      </c>
      <c r="O28" s="11" t="s">
        <v>35</v>
      </c>
      <c r="P28" s="7">
        <v>24000</v>
      </c>
      <c r="Q28" s="8">
        <v>8</v>
      </c>
      <c r="R28" s="8">
        <f t="shared" si="4"/>
        <v>192000</v>
      </c>
      <c r="S28" s="7">
        <v>28000</v>
      </c>
      <c r="T28" s="8">
        <v>8</v>
      </c>
      <c r="U28" s="8">
        <f t="shared" si="5"/>
        <v>224000</v>
      </c>
      <c r="V28" s="7">
        <v>28000</v>
      </c>
      <c r="W28" s="8">
        <v>8</v>
      </c>
      <c r="X28" s="8">
        <f t="shared" si="6"/>
        <v>224000</v>
      </c>
      <c r="Y28" s="7">
        <v>20000</v>
      </c>
      <c r="Z28" s="8">
        <v>8</v>
      </c>
      <c r="AA28" s="8">
        <f t="shared" ref="AA28:AA30" si="13">+Y28*Z28</f>
        <v>160000</v>
      </c>
      <c r="AB28" s="7">
        <v>20000</v>
      </c>
      <c r="AC28" s="8">
        <v>8</v>
      </c>
      <c r="AD28" s="8">
        <f t="shared" ref="AD28:AD30" si="14">+AB28*AC28</f>
        <v>160000</v>
      </c>
      <c r="AE28" s="9">
        <f t="shared" si="0"/>
        <v>960000</v>
      </c>
      <c r="AF28" s="5" t="s">
        <v>53</v>
      </c>
      <c r="AG28" s="3" t="s">
        <v>307</v>
      </c>
      <c r="AH28" s="8"/>
      <c r="AI28" s="1"/>
    </row>
    <row r="29" spans="1:35" ht="70.2" customHeight="1">
      <c r="A29" s="5" t="s">
        <v>89</v>
      </c>
      <c r="B29" s="5" t="s">
        <v>90</v>
      </c>
      <c r="C29" s="11">
        <v>5</v>
      </c>
      <c r="D29" s="5" t="s">
        <v>54</v>
      </c>
      <c r="E29" s="2" t="s">
        <v>413</v>
      </c>
      <c r="F29" s="4" t="s">
        <v>287</v>
      </c>
      <c r="G29" s="4" t="s">
        <v>108</v>
      </c>
      <c r="H29" s="4" t="s">
        <v>98</v>
      </c>
      <c r="I29" s="102" t="s">
        <v>109</v>
      </c>
      <c r="J29" s="4" t="s">
        <v>365</v>
      </c>
      <c r="K29" s="102" t="s">
        <v>376</v>
      </c>
      <c r="L29" s="5" t="s">
        <v>99</v>
      </c>
      <c r="M29" s="5"/>
      <c r="N29" s="6" t="s">
        <v>34</v>
      </c>
      <c r="O29" s="11" t="s">
        <v>35</v>
      </c>
      <c r="P29" s="7">
        <v>1200</v>
      </c>
      <c r="Q29" s="8">
        <v>8</v>
      </c>
      <c r="R29" s="8">
        <f t="shared" si="4"/>
        <v>9600</v>
      </c>
      <c r="S29" s="7">
        <v>1200</v>
      </c>
      <c r="T29" s="8">
        <v>8</v>
      </c>
      <c r="U29" s="8">
        <f t="shared" si="5"/>
        <v>9600</v>
      </c>
      <c r="V29" s="7">
        <v>1200</v>
      </c>
      <c r="W29" s="8">
        <v>8</v>
      </c>
      <c r="X29" s="8">
        <f t="shared" si="6"/>
        <v>9600</v>
      </c>
      <c r="Y29" s="7">
        <v>1200</v>
      </c>
      <c r="Z29" s="8">
        <v>8</v>
      </c>
      <c r="AA29" s="8">
        <f t="shared" si="13"/>
        <v>9600</v>
      </c>
      <c r="AB29" s="7">
        <v>1200</v>
      </c>
      <c r="AC29" s="8">
        <v>8</v>
      </c>
      <c r="AD29" s="8">
        <f t="shared" si="14"/>
        <v>9600</v>
      </c>
      <c r="AE29" s="9">
        <f t="shared" si="0"/>
        <v>48000</v>
      </c>
      <c r="AF29" s="5" t="s">
        <v>53</v>
      </c>
      <c r="AG29" s="3" t="s">
        <v>311</v>
      </c>
      <c r="AH29" s="8">
        <f t="shared" si="7"/>
        <v>28800</v>
      </c>
      <c r="AI29" s="1"/>
    </row>
    <row r="30" spans="1:35" ht="87" customHeight="1">
      <c r="A30" s="5" t="s">
        <v>306</v>
      </c>
      <c r="B30" s="5" t="s">
        <v>61</v>
      </c>
      <c r="C30" s="11">
        <v>5</v>
      </c>
      <c r="D30" s="5" t="s">
        <v>54</v>
      </c>
      <c r="E30" s="161" t="s">
        <v>417</v>
      </c>
      <c r="F30" s="4" t="s">
        <v>287</v>
      </c>
      <c r="G30" s="4" t="s">
        <v>108</v>
      </c>
      <c r="H30" s="4" t="s">
        <v>98</v>
      </c>
      <c r="I30" s="102" t="s">
        <v>109</v>
      </c>
      <c r="J30" s="4" t="s">
        <v>352</v>
      </c>
      <c r="K30" s="102" t="s">
        <v>377</v>
      </c>
      <c r="L30" s="5" t="s">
        <v>99</v>
      </c>
      <c r="M30" s="5"/>
      <c r="N30" s="6" t="s">
        <v>34</v>
      </c>
      <c r="O30" s="11" t="s">
        <v>35</v>
      </c>
      <c r="P30" s="7">
        <v>36312</v>
      </c>
      <c r="Q30" s="8">
        <v>8</v>
      </c>
      <c r="R30" s="8">
        <f t="shared" si="4"/>
        <v>290496</v>
      </c>
      <c r="S30" s="7">
        <v>36312</v>
      </c>
      <c r="T30" s="8">
        <v>8</v>
      </c>
      <c r="U30" s="8">
        <f t="shared" si="5"/>
        <v>290496</v>
      </c>
      <c r="V30" s="7">
        <v>36312</v>
      </c>
      <c r="W30" s="8">
        <v>8</v>
      </c>
      <c r="X30" s="8">
        <f t="shared" si="6"/>
        <v>290496</v>
      </c>
      <c r="Y30" s="7">
        <v>36312</v>
      </c>
      <c r="Z30" s="8">
        <v>8</v>
      </c>
      <c r="AA30" s="8">
        <f t="shared" si="13"/>
        <v>290496</v>
      </c>
      <c r="AB30" s="7">
        <v>36312</v>
      </c>
      <c r="AC30" s="8">
        <v>8</v>
      </c>
      <c r="AD30" s="8">
        <f t="shared" si="14"/>
        <v>290496</v>
      </c>
      <c r="AE30" s="9">
        <f t="shared" si="0"/>
        <v>1452480</v>
      </c>
      <c r="AF30" s="5" t="s">
        <v>53</v>
      </c>
      <c r="AG30" s="3" t="s">
        <v>378</v>
      </c>
      <c r="AH30" s="8"/>
      <c r="AI30" s="1"/>
    </row>
    <row r="31" spans="1:35" ht="70.2" customHeight="1">
      <c r="A31" s="5" t="s">
        <v>44</v>
      </c>
      <c r="B31" s="5" t="s">
        <v>111</v>
      </c>
      <c r="C31" s="11">
        <v>3</v>
      </c>
      <c r="D31" s="5" t="s">
        <v>54</v>
      </c>
      <c r="E31" s="161" t="s">
        <v>417</v>
      </c>
      <c r="F31" s="4" t="s">
        <v>287</v>
      </c>
      <c r="G31" s="4" t="s">
        <v>112</v>
      </c>
      <c r="H31" s="4" t="s">
        <v>98</v>
      </c>
      <c r="I31" s="4" t="s">
        <v>113</v>
      </c>
      <c r="J31" s="102" t="s">
        <v>364</v>
      </c>
      <c r="K31" s="131" t="s">
        <v>114</v>
      </c>
      <c r="L31" s="5" t="s">
        <v>106</v>
      </c>
      <c r="M31" s="5" t="s">
        <v>100</v>
      </c>
      <c r="N31" s="6" t="s">
        <v>40</v>
      </c>
      <c r="O31" s="11" t="s">
        <v>35</v>
      </c>
      <c r="P31" s="7">
        <v>1</v>
      </c>
      <c r="Q31" s="8">
        <v>4000</v>
      </c>
      <c r="R31" s="8">
        <f>P31*Q31</f>
        <v>4000</v>
      </c>
      <c r="S31" s="7">
        <v>1</v>
      </c>
      <c r="T31" s="8">
        <v>4000</v>
      </c>
      <c r="U31" s="8">
        <f>S31*T31</f>
        <v>4000</v>
      </c>
      <c r="V31" s="7">
        <v>1</v>
      </c>
      <c r="W31" s="8">
        <v>4000</v>
      </c>
      <c r="X31" s="8">
        <f>V31*W31</f>
        <v>4000</v>
      </c>
      <c r="Y31" s="7"/>
      <c r="Z31" s="8">
        <v>0</v>
      </c>
      <c r="AA31" s="8">
        <f t="shared" si="1"/>
        <v>0</v>
      </c>
      <c r="AB31" s="7"/>
      <c r="AC31" s="8">
        <v>0</v>
      </c>
      <c r="AD31" s="8">
        <f t="shared" si="2"/>
        <v>0</v>
      </c>
      <c r="AE31" s="9">
        <f t="shared" si="0"/>
        <v>12000</v>
      </c>
      <c r="AF31" s="5" t="s">
        <v>53</v>
      </c>
      <c r="AG31" s="4" t="s">
        <v>115</v>
      </c>
      <c r="AH31" s="8">
        <f t="shared" si="7"/>
        <v>12000</v>
      </c>
      <c r="AI31" s="1"/>
    </row>
    <row r="32" spans="1:35" ht="70.2" customHeight="1">
      <c r="A32" s="5" t="s">
        <v>44</v>
      </c>
      <c r="B32" s="5" t="s">
        <v>111</v>
      </c>
      <c r="C32" s="11">
        <v>3</v>
      </c>
      <c r="D32" s="5" t="s">
        <v>54</v>
      </c>
      <c r="E32" s="161" t="s">
        <v>417</v>
      </c>
      <c r="F32" s="4" t="s">
        <v>287</v>
      </c>
      <c r="G32" s="4" t="s">
        <v>112</v>
      </c>
      <c r="H32" s="4" t="s">
        <v>98</v>
      </c>
      <c r="I32" s="4" t="s">
        <v>113</v>
      </c>
      <c r="J32" s="102" t="s">
        <v>364</v>
      </c>
      <c r="K32" s="102" t="s">
        <v>114</v>
      </c>
      <c r="L32" s="5" t="s">
        <v>106</v>
      </c>
      <c r="M32" s="5" t="s">
        <v>100</v>
      </c>
      <c r="N32" s="6" t="s">
        <v>43</v>
      </c>
      <c r="O32" s="11" t="s">
        <v>35</v>
      </c>
      <c r="P32" s="7"/>
      <c r="Q32" s="8">
        <v>0</v>
      </c>
      <c r="R32" s="8">
        <f t="shared" si="4"/>
        <v>0</v>
      </c>
      <c r="S32" s="7"/>
      <c r="T32" s="8">
        <v>0</v>
      </c>
      <c r="U32" s="8">
        <f t="shared" si="5"/>
        <v>0</v>
      </c>
      <c r="V32" s="7"/>
      <c r="W32" s="8">
        <v>0</v>
      </c>
      <c r="X32" s="8">
        <f t="shared" si="6"/>
        <v>0</v>
      </c>
      <c r="Y32" s="7">
        <v>1</v>
      </c>
      <c r="Z32" s="8">
        <v>5000</v>
      </c>
      <c r="AA32" s="8">
        <f>Y32*Z32</f>
        <v>5000</v>
      </c>
      <c r="AB32" s="7">
        <v>1</v>
      </c>
      <c r="AC32" s="8">
        <v>5000</v>
      </c>
      <c r="AD32" s="8">
        <f>AB32*AC32</f>
        <v>5000</v>
      </c>
      <c r="AE32" s="9">
        <f t="shared" si="0"/>
        <v>10000</v>
      </c>
      <c r="AF32" s="5" t="s">
        <v>53</v>
      </c>
      <c r="AG32" s="4" t="s">
        <v>115</v>
      </c>
      <c r="AH32" s="8">
        <f t="shared" si="7"/>
        <v>0</v>
      </c>
      <c r="AI32" s="1"/>
    </row>
    <row r="33" spans="1:35" ht="70.2" customHeight="1">
      <c r="A33" s="5" t="s">
        <v>44</v>
      </c>
      <c r="B33" s="5" t="s">
        <v>45</v>
      </c>
      <c r="C33" s="11">
        <v>3</v>
      </c>
      <c r="D33" s="5" t="s">
        <v>54</v>
      </c>
      <c r="E33" s="161" t="s">
        <v>417</v>
      </c>
      <c r="F33" s="4" t="s">
        <v>287</v>
      </c>
      <c r="G33" s="4" t="s">
        <v>108</v>
      </c>
      <c r="H33" s="4" t="s">
        <v>98</v>
      </c>
      <c r="I33" s="4" t="s">
        <v>113</v>
      </c>
      <c r="J33" s="102" t="s">
        <v>364</v>
      </c>
      <c r="K33" s="131" t="s">
        <v>116</v>
      </c>
      <c r="L33" s="5" t="s">
        <v>99</v>
      </c>
      <c r="M33" s="5" t="s">
        <v>100</v>
      </c>
      <c r="N33" s="6" t="s">
        <v>40</v>
      </c>
      <c r="O33" s="11" t="s">
        <v>35</v>
      </c>
      <c r="P33" s="7">
        <v>35</v>
      </c>
      <c r="Q33" s="8">
        <v>500</v>
      </c>
      <c r="R33" s="8">
        <f>P33*Q33</f>
        <v>17500</v>
      </c>
      <c r="S33" s="7">
        <v>34</v>
      </c>
      <c r="T33" s="8">
        <v>500</v>
      </c>
      <c r="U33" s="8">
        <f>S33*T33</f>
        <v>17000</v>
      </c>
      <c r="V33" s="7">
        <v>27</v>
      </c>
      <c r="W33" s="8">
        <v>500</v>
      </c>
      <c r="X33" s="8">
        <f>V33*W33</f>
        <v>13500</v>
      </c>
      <c r="Y33" s="7"/>
      <c r="Z33" s="8">
        <v>0</v>
      </c>
      <c r="AA33" s="8">
        <f t="shared" si="1"/>
        <v>0</v>
      </c>
      <c r="AB33" s="7"/>
      <c r="AC33" s="8">
        <v>0</v>
      </c>
      <c r="AD33" s="8">
        <f t="shared" si="2"/>
        <v>0</v>
      </c>
      <c r="AE33" s="9">
        <f t="shared" si="0"/>
        <v>48000</v>
      </c>
      <c r="AF33" s="5" t="s">
        <v>53</v>
      </c>
      <c r="AG33" s="17" t="s">
        <v>117</v>
      </c>
      <c r="AH33" s="8">
        <f t="shared" si="7"/>
        <v>48000</v>
      </c>
      <c r="AI33" s="1"/>
    </row>
    <row r="34" spans="1:35" ht="70.2" customHeight="1">
      <c r="A34" s="5" t="s">
        <v>44</v>
      </c>
      <c r="B34" s="5" t="s">
        <v>45</v>
      </c>
      <c r="C34" s="11">
        <v>5</v>
      </c>
      <c r="D34" s="5" t="s">
        <v>54</v>
      </c>
      <c r="E34" s="161" t="s">
        <v>417</v>
      </c>
      <c r="F34" s="4" t="s">
        <v>287</v>
      </c>
      <c r="G34" s="4" t="s">
        <v>108</v>
      </c>
      <c r="H34" s="4" t="s">
        <v>98</v>
      </c>
      <c r="I34" s="102" t="s">
        <v>109</v>
      </c>
      <c r="J34" s="102" t="s">
        <v>364</v>
      </c>
      <c r="K34" s="102" t="s">
        <v>116</v>
      </c>
      <c r="L34" s="5" t="s">
        <v>99</v>
      </c>
      <c r="M34" s="5"/>
      <c r="N34" s="6" t="s">
        <v>34</v>
      </c>
      <c r="O34" s="11" t="s">
        <v>35</v>
      </c>
      <c r="P34" s="7">
        <v>45</v>
      </c>
      <c r="Q34" s="8">
        <v>500</v>
      </c>
      <c r="R34" s="8">
        <f>P34*Q34</f>
        <v>22500</v>
      </c>
      <c r="S34" s="7">
        <v>45</v>
      </c>
      <c r="T34" s="8">
        <v>500</v>
      </c>
      <c r="U34" s="8">
        <f>+S34*T34</f>
        <v>22500</v>
      </c>
      <c r="V34" s="7">
        <v>45</v>
      </c>
      <c r="W34" s="8">
        <v>500</v>
      </c>
      <c r="X34" s="8">
        <f>+V34*W34</f>
        <v>22500</v>
      </c>
      <c r="Y34" s="7">
        <v>45</v>
      </c>
      <c r="Z34" s="8">
        <v>500</v>
      </c>
      <c r="AA34" s="8">
        <f>+Y34*Z34</f>
        <v>22500</v>
      </c>
      <c r="AB34" s="7">
        <v>45</v>
      </c>
      <c r="AC34" s="8">
        <v>500</v>
      </c>
      <c r="AD34" s="8">
        <f>+AB34*AC34</f>
        <v>22500</v>
      </c>
      <c r="AE34" s="9">
        <f t="shared" si="0"/>
        <v>112500</v>
      </c>
      <c r="AF34" s="5" t="s">
        <v>53</v>
      </c>
      <c r="AG34" s="17" t="s">
        <v>117</v>
      </c>
      <c r="AH34" s="8"/>
      <c r="AI34" s="1"/>
    </row>
    <row r="35" spans="1:35" ht="70.2" customHeight="1">
      <c r="A35" s="5" t="s">
        <v>44</v>
      </c>
      <c r="B35" s="5" t="s">
        <v>45</v>
      </c>
      <c r="C35" s="11">
        <v>3</v>
      </c>
      <c r="D35" s="5" t="s">
        <v>54</v>
      </c>
      <c r="E35" s="161" t="s">
        <v>417</v>
      </c>
      <c r="F35" s="4" t="s">
        <v>287</v>
      </c>
      <c r="G35" s="4" t="s">
        <v>108</v>
      </c>
      <c r="H35" s="4" t="s">
        <v>98</v>
      </c>
      <c r="I35" s="4" t="s">
        <v>113</v>
      </c>
      <c r="J35" s="102" t="s">
        <v>364</v>
      </c>
      <c r="K35" s="102" t="s">
        <v>116</v>
      </c>
      <c r="L35" s="5" t="s">
        <v>99</v>
      </c>
      <c r="M35" s="5" t="s">
        <v>100</v>
      </c>
      <c r="N35" s="6" t="s">
        <v>43</v>
      </c>
      <c r="O35" s="11" t="s">
        <v>35</v>
      </c>
      <c r="P35" s="7"/>
      <c r="Q35" s="8">
        <v>0</v>
      </c>
      <c r="R35" s="8">
        <f t="shared" si="4"/>
        <v>0</v>
      </c>
      <c r="S35" s="7"/>
      <c r="T35" s="8">
        <v>0</v>
      </c>
      <c r="U35" s="8">
        <f t="shared" si="5"/>
        <v>0</v>
      </c>
      <c r="V35" s="7"/>
      <c r="W35" s="8">
        <v>0</v>
      </c>
      <c r="X35" s="8">
        <f t="shared" si="6"/>
        <v>0</v>
      </c>
      <c r="Y35" s="7">
        <v>25</v>
      </c>
      <c r="Z35" s="8">
        <v>500</v>
      </c>
      <c r="AA35" s="8">
        <f>Y35*Z35</f>
        <v>12500</v>
      </c>
      <c r="AB35" s="7">
        <v>25</v>
      </c>
      <c r="AC35" s="8">
        <v>500</v>
      </c>
      <c r="AD35" s="8">
        <f>AB35*AC35</f>
        <v>12500</v>
      </c>
      <c r="AE35" s="9">
        <f t="shared" si="0"/>
        <v>25000</v>
      </c>
      <c r="AF35" s="5" t="s">
        <v>53</v>
      </c>
      <c r="AG35" s="17" t="s">
        <v>117</v>
      </c>
      <c r="AH35" s="8">
        <f t="shared" ref="AH35" si="15">+R35+U35+X35</f>
        <v>0</v>
      </c>
      <c r="AI35" s="1"/>
    </row>
    <row r="36" spans="1:35" ht="70.2" customHeight="1">
      <c r="A36" s="5" t="s">
        <v>118</v>
      </c>
      <c r="B36" s="5" t="s">
        <v>111</v>
      </c>
      <c r="C36" s="11">
        <v>5</v>
      </c>
      <c r="D36" s="5" t="s">
        <v>54</v>
      </c>
      <c r="E36" s="5" t="s">
        <v>411</v>
      </c>
      <c r="F36" s="4" t="s">
        <v>287</v>
      </c>
      <c r="G36" s="4" t="s">
        <v>108</v>
      </c>
      <c r="H36" s="4" t="s">
        <v>98</v>
      </c>
      <c r="I36" s="102" t="s">
        <v>119</v>
      </c>
      <c r="J36" s="4" t="s">
        <v>363</v>
      </c>
      <c r="K36" s="131" t="s">
        <v>401</v>
      </c>
      <c r="L36" s="5" t="s">
        <v>99</v>
      </c>
      <c r="M36" s="5" t="s">
        <v>100</v>
      </c>
      <c r="N36" s="6" t="s">
        <v>40</v>
      </c>
      <c r="O36" s="11" t="s">
        <v>35</v>
      </c>
      <c r="P36" s="7">
        <v>3500</v>
      </c>
      <c r="Q36" s="8">
        <v>14.9</v>
      </c>
      <c r="R36" s="8">
        <f>P36*Q36</f>
        <v>52150</v>
      </c>
      <c r="S36" s="7">
        <v>3500</v>
      </c>
      <c r="T36" s="8">
        <v>14.9</v>
      </c>
      <c r="U36" s="8">
        <f>S36*T36</f>
        <v>52150</v>
      </c>
      <c r="V36" s="7">
        <v>3500</v>
      </c>
      <c r="W36" s="8">
        <v>14.9</v>
      </c>
      <c r="X36" s="8">
        <f>V36*W36</f>
        <v>52150</v>
      </c>
      <c r="Y36" s="7"/>
      <c r="Z36" s="8">
        <v>0</v>
      </c>
      <c r="AA36" s="8">
        <f t="shared" si="1"/>
        <v>0</v>
      </c>
      <c r="AB36" s="7"/>
      <c r="AC36" s="8">
        <v>0</v>
      </c>
      <c r="AD36" s="8">
        <f t="shared" si="2"/>
        <v>0</v>
      </c>
      <c r="AE36" s="9">
        <f t="shared" si="0"/>
        <v>156450</v>
      </c>
      <c r="AF36" s="5" t="s">
        <v>53</v>
      </c>
      <c r="AG36" s="3" t="s">
        <v>120</v>
      </c>
      <c r="AH36" s="8">
        <f>+R36+U36+X36</f>
        <v>156450</v>
      </c>
    </row>
    <row r="37" spans="1:35" ht="70.2" customHeight="1">
      <c r="A37" s="5" t="s">
        <v>24</v>
      </c>
      <c r="B37" s="5" t="s">
        <v>25</v>
      </c>
      <c r="C37" s="11">
        <v>5</v>
      </c>
      <c r="D37" s="5" t="s">
        <v>54</v>
      </c>
      <c r="E37" s="5" t="s">
        <v>411</v>
      </c>
      <c r="F37" s="4" t="s">
        <v>287</v>
      </c>
      <c r="G37" s="4" t="s">
        <v>108</v>
      </c>
      <c r="H37" s="4" t="s">
        <v>98</v>
      </c>
      <c r="I37" s="102" t="s">
        <v>119</v>
      </c>
      <c r="J37" s="4" t="s">
        <v>363</v>
      </c>
      <c r="K37" s="102" t="s">
        <v>316</v>
      </c>
      <c r="L37" s="5" t="s">
        <v>99</v>
      </c>
      <c r="M37" s="5" t="s">
        <v>100</v>
      </c>
      <c r="N37" s="6" t="s">
        <v>43</v>
      </c>
      <c r="O37" s="11" t="s">
        <v>35</v>
      </c>
      <c r="P37" s="7"/>
      <c r="Q37" s="8">
        <v>0</v>
      </c>
      <c r="R37" s="8">
        <f t="shared" si="4"/>
        <v>0</v>
      </c>
      <c r="S37" s="7"/>
      <c r="T37" s="8">
        <v>0</v>
      </c>
      <c r="U37" s="8">
        <f t="shared" si="5"/>
        <v>0</v>
      </c>
      <c r="V37" s="7"/>
      <c r="W37" s="8">
        <v>0</v>
      </c>
      <c r="X37" s="8">
        <f t="shared" si="6"/>
        <v>0</v>
      </c>
      <c r="Y37" s="7">
        <v>3500</v>
      </c>
      <c r="Z37" s="8">
        <v>14.9</v>
      </c>
      <c r="AA37" s="8">
        <f>Y37*Z37</f>
        <v>52150</v>
      </c>
      <c r="AB37" s="7">
        <v>3500</v>
      </c>
      <c r="AC37" s="8">
        <v>14.9</v>
      </c>
      <c r="AD37" s="8">
        <f>AB37*AC37</f>
        <v>52150</v>
      </c>
      <c r="AE37" s="9">
        <f t="shared" si="0"/>
        <v>104300</v>
      </c>
      <c r="AF37" s="5" t="s">
        <v>53</v>
      </c>
      <c r="AG37" s="3" t="s">
        <v>120</v>
      </c>
      <c r="AH37" s="8">
        <f>+R37+U37+X37</f>
        <v>0</v>
      </c>
    </row>
    <row r="38" spans="1:35" ht="99.6" customHeight="1">
      <c r="A38" s="5" t="s">
        <v>118</v>
      </c>
      <c r="B38" s="5" t="s">
        <v>111</v>
      </c>
      <c r="C38" s="11">
        <v>5</v>
      </c>
      <c r="D38" s="5" t="s">
        <v>54</v>
      </c>
      <c r="E38" s="2" t="s">
        <v>414</v>
      </c>
      <c r="F38" s="4" t="s">
        <v>287</v>
      </c>
      <c r="G38" s="4" t="s">
        <v>108</v>
      </c>
      <c r="H38" s="4" t="s">
        <v>98</v>
      </c>
      <c r="I38" s="102" t="s">
        <v>119</v>
      </c>
      <c r="J38" s="4" t="s">
        <v>348</v>
      </c>
      <c r="K38" s="102" t="s">
        <v>379</v>
      </c>
      <c r="L38" s="5" t="s">
        <v>99</v>
      </c>
      <c r="M38" s="5"/>
      <c r="N38" s="6" t="s">
        <v>34</v>
      </c>
      <c r="O38" s="11" t="s">
        <v>35</v>
      </c>
      <c r="P38" s="7">
        <v>1200</v>
      </c>
      <c r="Q38" s="8">
        <v>14.9</v>
      </c>
      <c r="R38" s="8">
        <f>P38*Q38</f>
        <v>17880</v>
      </c>
      <c r="S38" s="7">
        <v>1200</v>
      </c>
      <c r="T38" s="8">
        <v>14.9</v>
      </c>
      <c r="U38" s="8">
        <f>+S38*T38</f>
        <v>17880</v>
      </c>
      <c r="V38" s="7">
        <v>1200</v>
      </c>
      <c r="W38" s="8">
        <v>14.9</v>
      </c>
      <c r="X38" s="8">
        <f>+V38*W38</f>
        <v>17880</v>
      </c>
      <c r="Y38" s="7">
        <v>1200</v>
      </c>
      <c r="Z38" s="8">
        <v>14.9</v>
      </c>
      <c r="AA38" s="8">
        <f>+Y38*Z38</f>
        <v>17880</v>
      </c>
      <c r="AB38" s="7">
        <v>1200</v>
      </c>
      <c r="AC38" s="8">
        <v>14.9</v>
      </c>
      <c r="AD38" s="8">
        <f>+AB38*AC38</f>
        <v>17880</v>
      </c>
      <c r="AE38" s="9">
        <f t="shared" si="0"/>
        <v>89400</v>
      </c>
      <c r="AF38" s="5" t="s">
        <v>53</v>
      </c>
      <c r="AG38" s="3" t="s">
        <v>120</v>
      </c>
      <c r="AH38" s="8">
        <f t="shared" si="7"/>
        <v>53640</v>
      </c>
    </row>
    <row r="39" spans="1:35" ht="70.2" customHeight="1">
      <c r="A39" s="5" t="s">
        <v>44</v>
      </c>
      <c r="B39" s="5" t="s">
        <v>45</v>
      </c>
      <c r="C39" s="11">
        <v>6</v>
      </c>
      <c r="D39" s="5" t="s">
        <v>54</v>
      </c>
      <c r="E39" s="2" t="s">
        <v>414</v>
      </c>
      <c r="F39" s="4" t="s">
        <v>287</v>
      </c>
      <c r="G39" s="4" t="s">
        <v>108</v>
      </c>
      <c r="H39" s="4" t="s">
        <v>98</v>
      </c>
      <c r="I39" s="102" t="s">
        <v>109</v>
      </c>
      <c r="J39" s="102" t="s">
        <v>364</v>
      </c>
      <c r="K39" s="131" t="s">
        <v>308</v>
      </c>
      <c r="L39" s="5" t="s">
        <v>99</v>
      </c>
      <c r="M39" s="5" t="s">
        <v>100</v>
      </c>
      <c r="N39" s="6" t="s">
        <v>40</v>
      </c>
      <c r="O39" s="11" t="s">
        <v>35</v>
      </c>
      <c r="P39" s="7">
        <f>10+18</f>
        <v>28</v>
      </c>
      <c r="Q39" s="8">
        <v>3860</v>
      </c>
      <c r="R39" s="8">
        <f>P39*Q39</f>
        <v>108080</v>
      </c>
      <c r="S39" s="7">
        <v>10</v>
      </c>
      <c r="T39" s="8">
        <v>3860</v>
      </c>
      <c r="U39" s="8">
        <f>S39*T39</f>
        <v>38600</v>
      </c>
      <c r="V39" s="7">
        <v>8</v>
      </c>
      <c r="W39" s="8">
        <v>3860</v>
      </c>
      <c r="X39" s="8">
        <f>V39*W39</f>
        <v>30880</v>
      </c>
      <c r="Y39" s="7"/>
      <c r="Z39" s="8">
        <v>0</v>
      </c>
      <c r="AA39" s="8">
        <f t="shared" si="1"/>
        <v>0</v>
      </c>
      <c r="AB39" s="7"/>
      <c r="AC39" s="8">
        <v>0</v>
      </c>
      <c r="AD39" s="8">
        <f t="shared" si="2"/>
        <v>0</v>
      </c>
      <c r="AE39" s="9">
        <f t="shared" si="0"/>
        <v>177560</v>
      </c>
      <c r="AF39" s="5" t="s">
        <v>53</v>
      </c>
      <c r="AG39" s="4" t="s">
        <v>121</v>
      </c>
      <c r="AH39" s="8">
        <f t="shared" si="7"/>
        <v>177560</v>
      </c>
      <c r="AI39" s="1"/>
    </row>
    <row r="40" spans="1:35" ht="70.2" customHeight="1">
      <c r="A40" s="5" t="s">
        <v>44</v>
      </c>
      <c r="B40" s="5" t="s">
        <v>45</v>
      </c>
      <c r="C40" s="11">
        <v>6</v>
      </c>
      <c r="D40" s="5" t="s">
        <v>54</v>
      </c>
      <c r="E40" s="2" t="s">
        <v>414</v>
      </c>
      <c r="F40" s="4" t="s">
        <v>287</v>
      </c>
      <c r="G40" s="4" t="s">
        <v>108</v>
      </c>
      <c r="H40" s="4" t="s">
        <v>98</v>
      </c>
      <c r="I40" s="102" t="s">
        <v>109</v>
      </c>
      <c r="J40" s="102" t="s">
        <v>364</v>
      </c>
      <c r="K40" s="102" t="s">
        <v>308</v>
      </c>
      <c r="L40" s="5" t="s">
        <v>99</v>
      </c>
      <c r="M40" s="5" t="s">
        <v>100</v>
      </c>
      <c r="N40" s="6" t="s">
        <v>43</v>
      </c>
      <c r="O40" s="18" t="s">
        <v>35</v>
      </c>
      <c r="P40" s="7">
        <v>0</v>
      </c>
      <c r="Q40" s="8">
        <v>0</v>
      </c>
      <c r="R40" s="8">
        <f t="shared" si="4"/>
        <v>0</v>
      </c>
      <c r="S40" s="7">
        <v>0</v>
      </c>
      <c r="T40" s="8">
        <v>0</v>
      </c>
      <c r="U40" s="8">
        <f t="shared" si="5"/>
        <v>0</v>
      </c>
      <c r="V40" s="7"/>
      <c r="W40" s="8">
        <v>0</v>
      </c>
      <c r="X40" s="8">
        <f t="shared" si="6"/>
        <v>0</v>
      </c>
      <c r="Y40" s="7">
        <v>5</v>
      </c>
      <c r="Z40" s="8">
        <v>3860</v>
      </c>
      <c r="AA40" s="8">
        <f>Y40*Z40</f>
        <v>19300</v>
      </c>
      <c r="AB40" s="7">
        <v>5</v>
      </c>
      <c r="AC40" s="8">
        <v>3860</v>
      </c>
      <c r="AD40" s="8">
        <f>AB40*AC40</f>
        <v>19300</v>
      </c>
      <c r="AE40" s="9">
        <f t="shared" si="0"/>
        <v>38600</v>
      </c>
      <c r="AF40" s="5" t="s">
        <v>53</v>
      </c>
      <c r="AG40" s="4" t="s">
        <v>121</v>
      </c>
      <c r="AH40" s="8">
        <f t="shared" si="7"/>
        <v>0</v>
      </c>
      <c r="AI40" s="1"/>
    </row>
    <row r="41" spans="1:35" ht="70.2" customHeight="1">
      <c r="A41" s="5" t="s">
        <v>44</v>
      </c>
      <c r="B41" s="5" t="s">
        <v>45</v>
      </c>
      <c r="C41" s="11">
        <v>6</v>
      </c>
      <c r="D41" s="5" t="s">
        <v>54</v>
      </c>
      <c r="E41" s="2" t="s">
        <v>414</v>
      </c>
      <c r="F41" s="4" t="s">
        <v>287</v>
      </c>
      <c r="G41" s="4" t="s">
        <v>108</v>
      </c>
      <c r="H41" s="4" t="s">
        <v>98</v>
      </c>
      <c r="I41" s="102" t="s">
        <v>109</v>
      </c>
      <c r="J41" s="102" t="s">
        <v>364</v>
      </c>
      <c r="K41" s="102" t="s">
        <v>308</v>
      </c>
      <c r="L41" s="5" t="s">
        <v>99</v>
      </c>
      <c r="M41" s="5"/>
      <c r="N41" s="6" t="s">
        <v>34</v>
      </c>
      <c r="O41" s="18" t="s">
        <v>35</v>
      </c>
      <c r="P41" s="7">
        <v>45</v>
      </c>
      <c r="Q41" s="8">
        <v>3860</v>
      </c>
      <c r="R41" s="8">
        <f>P41*Q41</f>
        <v>173700</v>
      </c>
      <c r="S41" s="7">
        <v>45</v>
      </c>
      <c r="T41" s="8">
        <v>3860</v>
      </c>
      <c r="U41" s="8">
        <f>+S41*T41</f>
        <v>173700</v>
      </c>
      <c r="V41" s="7">
        <v>45</v>
      </c>
      <c r="W41" s="8">
        <v>3860</v>
      </c>
      <c r="X41" s="8">
        <f>+V41*W41</f>
        <v>173700</v>
      </c>
      <c r="Y41" s="7">
        <v>45</v>
      </c>
      <c r="Z41" s="8">
        <v>3860</v>
      </c>
      <c r="AA41" s="8">
        <f>+Y41*Z41</f>
        <v>173700</v>
      </c>
      <c r="AB41" s="7">
        <v>45</v>
      </c>
      <c r="AC41" s="8">
        <v>3860</v>
      </c>
      <c r="AD41" s="8">
        <f>+AB41*AC41</f>
        <v>173700</v>
      </c>
      <c r="AE41" s="9">
        <f t="shared" si="0"/>
        <v>868500</v>
      </c>
      <c r="AF41" s="5"/>
      <c r="AG41" s="3" t="s">
        <v>120</v>
      </c>
      <c r="AH41" s="8"/>
      <c r="AI41" s="1"/>
    </row>
    <row r="42" spans="1:35" ht="70.2" customHeight="1">
      <c r="A42" s="5" t="s">
        <v>44</v>
      </c>
      <c r="B42" s="5" t="s">
        <v>45</v>
      </c>
      <c r="C42" s="11">
        <v>5</v>
      </c>
      <c r="D42" s="5" t="s">
        <v>54</v>
      </c>
      <c r="E42" s="2" t="s">
        <v>414</v>
      </c>
      <c r="F42" s="4" t="s">
        <v>287</v>
      </c>
      <c r="G42" s="4" t="s">
        <v>108</v>
      </c>
      <c r="H42" s="4" t="s">
        <v>98</v>
      </c>
      <c r="I42" s="108" t="s">
        <v>122</v>
      </c>
      <c r="J42" s="102" t="s">
        <v>364</v>
      </c>
      <c r="K42" s="131" t="s">
        <v>123</v>
      </c>
      <c r="L42" s="5" t="s">
        <v>99</v>
      </c>
      <c r="M42" s="5" t="s">
        <v>100</v>
      </c>
      <c r="N42" s="6" t="s">
        <v>40</v>
      </c>
      <c r="O42" s="18" t="s">
        <v>35</v>
      </c>
      <c r="P42" s="7">
        <v>20000</v>
      </c>
      <c r="Q42" s="8">
        <v>0.4</v>
      </c>
      <c r="R42" s="8">
        <f>P42*Q42</f>
        <v>8000</v>
      </c>
      <c r="S42" s="7">
        <v>20000</v>
      </c>
      <c r="T42" s="8">
        <v>0.4</v>
      </c>
      <c r="U42" s="8">
        <f>S42*T42</f>
        <v>8000</v>
      </c>
      <c r="V42" s="7">
        <v>20000</v>
      </c>
      <c r="W42" s="8">
        <v>0.4</v>
      </c>
      <c r="X42" s="8">
        <f>V42*W42</f>
        <v>8000</v>
      </c>
      <c r="Y42" s="7"/>
      <c r="Z42" s="8">
        <v>0</v>
      </c>
      <c r="AA42" s="8">
        <f t="shared" si="1"/>
        <v>0</v>
      </c>
      <c r="AB42" s="7"/>
      <c r="AC42" s="8">
        <v>0</v>
      </c>
      <c r="AD42" s="8">
        <f t="shared" si="2"/>
        <v>0</v>
      </c>
      <c r="AE42" s="9">
        <f t="shared" si="0"/>
        <v>24000</v>
      </c>
      <c r="AF42" s="5" t="s">
        <v>34</v>
      </c>
      <c r="AG42" s="4" t="s">
        <v>124</v>
      </c>
      <c r="AH42" s="8">
        <f t="shared" si="7"/>
        <v>24000</v>
      </c>
      <c r="AI42" s="1"/>
    </row>
    <row r="43" spans="1:35" ht="70.2" customHeight="1">
      <c r="A43" s="5" t="s">
        <v>44</v>
      </c>
      <c r="B43" s="5" t="s">
        <v>45</v>
      </c>
      <c r="C43" s="11">
        <v>5</v>
      </c>
      <c r="D43" s="5" t="s">
        <v>54</v>
      </c>
      <c r="E43" s="2" t="s">
        <v>414</v>
      </c>
      <c r="F43" s="4" t="s">
        <v>287</v>
      </c>
      <c r="G43" s="4" t="s">
        <v>108</v>
      </c>
      <c r="H43" s="4" t="s">
        <v>98</v>
      </c>
      <c r="I43" s="108" t="s">
        <v>122</v>
      </c>
      <c r="J43" s="102" t="s">
        <v>364</v>
      </c>
      <c r="K43" s="102" t="s">
        <v>123</v>
      </c>
      <c r="L43" s="5" t="s">
        <v>99</v>
      </c>
      <c r="M43" s="5" t="s">
        <v>100</v>
      </c>
      <c r="N43" s="6" t="s">
        <v>43</v>
      </c>
      <c r="O43" s="18" t="s">
        <v>35</v>
      </c>
      <c r="P43" s="7"/>
      <c r="Q43" s="8">
        <v>0</v>
      </c>
      <c r="R43" s="8">
        <f t="shared" si="4"/>
        <v>0</v>
      </c>
      <c r="S43" s="7"/>
      <c r="T43" s="8">
        <v>0</v>
      </c>
      <c r="U43" s="8">
        <f t="shared" si="5"/>
        <v>0</v>
      </c>
      <c r="V43" s="7"/>
      <c r="W43" s="8">
        <v>0</v>
      </c>
      <c r="X43" s="8">
        <f t="shared" si="6"/>
        <v>0</v>
      </c>
      <c r="Y43" s="7">
        <v>25000</v>
      </c>
      <c r="Z43" s="8">
        <v>0.4</v>
      </c>
      <c r="AA43" s="8">
        <f t="shared" si="1"/>
        <v>10000</v>
      </c>
      <c r="AB43" s="7">
        <v>25000</v>
      </c>
      <c r="AC43" s="8">
        <v>0.4</v>
      </c>
      <c r="AD43" s="8">
        <f t="shared" si="2"/>
        <v>10000</v>
      </c>
      <c r="AE43" s="9">
        <f t="shared" si="0"/>
        <v>20000</v>
      </c>
      <c r="AF43" s="5" t="s">
        <v>34</v>
      </c>
      <c r="AG43" s="4" t="s">
        <v>124</v>
      </c>
      <c r="AH43" s="8">
        <f t="shared" si="7"/>
        <v>0</v>
      </c>
      <c r="AI43" s="1"/>
    </row>
    <row r="44" spans="1:35" ht="70.2" customHeight="1">
      <c r="A44" s="5" t="s">
        <v>44</v>
      </c>
      <c r="B44" s="5" t="s">
        <v>45</v>
      </c>
      <c r="C44" s="11">
        <v>2</v>
      </c>
      <c r="D44" s="4" t="s">
        <v>70</v>
      </c>
      <c r="E44" s="165" t="s">
        <v>424</v>
      </c>
      <c r="F44" s="4" t="s">
        <v>125</v>
      </c>
      <c r="G44" s="4" t="s">
        <v>72</v>
      </c>
      <c r="H44" s="4" t="s">
        <v>126</v>
      </c>
      <c r="I44" s="4" t="s">
        <v>88</v>
      </c>
      <c r="J44" s="102" t="s">
        <v>364</v>
      </c>
      <c r="K44" s="131" t="s">
        <v>293</v>
      </c>
      <c r="L44" s="5" t="s">
        <v>66</v>
      </c>
      <c r="M44" s="5" t="s">
        <v>127</v>
      </c>
      <c r="N44" s="6" t="s">
        <v>40</v>
      </c>
      <c r="O44" s="5" t="s">
        <v>67</v>
      </c>
      <c r="P44" s="7">
        <v>640</v>
      </c>
      <c r="Q44" s="8">
        <v>25</v>
      </c>
      <c r="R44" s="8">
        <f>P44*Q44</f>
        <v>16000</v>
      </c>
      <c r="S44" s="7">
        <v>640</v>
      </c>
      <c r="T44" s="8">
        <v>25</v>
      </c>
      <c r="U44" s="8">
        <f>S44*T44</f>
        <v>16000</v>
      </c>
      <c r="V44" s="7">
        <v>640</v>
      </c>
      <c r="W44" s="8">
        <v>25</v>
      </c>
      <c r="X44" s="8">
        <f>V44*W44</f>
        <v>16000</v>
      </c>
      <c r="Y44" s="7"/>
      <c r="Z44" s="8">
        <v>0</v>
      </c>
      <c r="AA44" s="8">
        <f t="shared" si="1"/>
        <v>0</v>
      </c>
      <c r="AB44" s="7"/>
      <c r="AC44" s="8">
        <v>0</v>
      </c>
      <c r="AD44" s="8">
        <f t="shared" si="2"/>
        <v>0</v>
      </c>
      <c r="AE44" s="9">
        <f t="shared" si="0"/>
        <v>48000</v>
      </c>
      <c r="AF44" s="5" t="s">
        <v>41</v>
      </c>
      <c r="AG44" s="109" t="s">
        <v>128</v>
      </c>
      <c r="AH44" s="8">
        <f t="shared" si="7"/>
        <v>48000</v>
      </c>
      <c r="AI44" s="1"/>
    </row>
    <row r="45" spans="1:35" ht="70.2" customHeight="1">
      <c r="A45" s="5" t="s">
        <v>44</v>
      </c>
      <c r="B45" s="5" t="s">
        <v>45</v>
      </c>
      <c r="C45" s="11">
        <v>2</v>
      </c>
      <c r="D45" s="4" t="s">
        <v>70</v>
      </c>
      <c r="E45" s="165" t="s">
        <v>424</v>
      </c>
      <c r="F45" s="4" t="s">
        <v>125</v>
      </c>
      <c r="G45" s="4" t="s">
        <v>72</v>
      </c>
      <c r="H45" s="4" t="s">
        <v>126</v>
      </c>
      <c r="I45" s="4" t="s">
        <v>88</v>
      </c>
      <c r="J45" s="4" t="s">
        <v>366</v>
      </c>
      <c r="K45" s="102" t="s">
        <v>293</v>
      </c>
      <c r="L45" s="5" t="s">
        <v>66</v>
      </c>
      <c r="M45" s="5" t="s">
        <v>127</v>
      </c>
      <c r="N45" s="6" t="s">
        <v>43</v>
      </c>
      <c r="O45" s="5" t="s">
        <v>67</v>
      </c>
      <c r="P45" s="7"/>
      <c r="Q45" s="8">
        <v>0</v>
      </c>
      <c r="R45" s="8">
        <f t="shared" si="4"/>
        <v>0</v>
      </c>
      <c r="S45" s="7"/>
      <c r="T45" s="8">
        <v>0</v>
      </c>
      <c r="U45" s="8">
        <f t="shared" si="5"/>
        <v>0</v>
      </c>
      <c r="V45" s="7"/>
      <c r="W45" s="8">
        <v>0</v>
      </c>
      <c r="X45" s="8">
        <f t="shared" si="6"/>
        <v>0</v>
      </c>
      <c r="Y45" s="7">
        <v>640</v>
      </c>
      <c r="Z45" s="8">
        <v>25</v>
      </c>
      <c r="AA45" s="8">
        <f t="shared" si="1"/>
        <v>16000</v>
      </c>
      <c r="AB45" s="7">
        <v>640</v>
      </c>
      <c r="AC45" s="8">
        <v>25</v>
      </c>
      <c r="AD45" s="8">
        <f t="shared" si="2"/>
        <v>16000</v>
      </c>
      <c r="AE45" s="9">
        <f t="shared" si="0"/>
        <v>32000</v>
      </c>
      <c r="AF45" s="5" t="s">
        <v>41</v>
      </c>
      <c r="AG45" s="109" t="s">
        <v>128</v>
      </c>
      <c r="AH45" s="8">
        <f t="shared" si="7"/>
        <v>0</v>
      </c>
      <c r="AI45" s="1"/>
    </row>
    <row r="46" spans="1:35" ht="70.2" customHeight="1">
      <c r="A46" s="5" t="s">
        <v>44</v>
      </c>
      <c r="B46" s="5" t="s">
        <v>45</v>
      </c>
      <c r="C46" s="11">
        <v>2</v>
      </c>
      <c r="D46" s="4" t="s">
        <v>70</v>
      </c>
      <c r="E46" s="167" t="s">
        <v>424</v>
      </c>
      <c r="F46" s="4" t="s">
        <v>125</v>
      </c>
      <c r="G46" s="4" t="s">
        <v>72</v>
      </c>
      <c r="H46" s="4" t="s">
        <v>126</v>
      </c>
      <c r="I46" s="102" t="s">
        <v>82</v>
      </c>
      <c r="J46" s="4" t="s">
        <v>366</v>
      </c>
      <c r="K46" s="131" t="s">
        <v>389</v>
      </c>
      <c r="L46" s="5" t="s">
        <v>66</v>
      </c>
      <c r="M46" s="5" t="s">
        <v>127</v>
      </c>
      <c r="N46" s="6" t="s">
        <v>40</v>
      </c>
      <c r="O46" s="5" t="s">
        <v>67</v>
      </c>
      <c r="P46" s="7">
        <v>26</v>
      </c>
      <c r="Q46" s="8">
        <v>60</v>
      </c>
      <c r="R46" s="8">
        <f>P46*Q46</f>
        <v>1560</v>
      </c>
      <c r="S46" s="7">
        <v>26</v>
      </c>
      <c r="T46" s="8">
        <v>60</v>
      </c>
      <c r="U46" s="8">
        <f>S46*T46</f>
        <v>1560</v>
      </c>
      <c r="V46" s="7">
        <v>26</v>
      </c>
      <c r="W46" s="8">
        <v>60</v>
      </c>
      <c r="X46" s="8">
        <f>V46*W46</f>
        <v>1560</v>
      </c>
      <c r="Y46" s="7"/>
      <c r="Z46" s="8">
        <v>0</v>
      </c>
      <c r="AA46" s="8">
        <f t="shared" si="1"/>
        <v>0</v>
      </c>
      <c r="AB46" s="7"/>
      <c r="AC46" s="8">
        <v>0</v>
      </c>
      <c r="AD46" s="8">
        <f t="shared" si="2"/>
        <v>0</v>
      </c>
      <c r="AE46" s="9">
        <f t="shared" si="0"/>
        <v>4680</v>
      </c>
      <c r="AF46" s="5" t="s">
        <v>41</v>
      </c>
      <c r="AG46" s="110" t="s">
        <v>398</v>
      </c>
      <c r="AH46" s="8">
        <f t="shared" si="7"/>
        <v>4680</v>
      </c>
      <c r="AI46" s="130">
        <f>AE46</f>
        <v>4680</v>
      </c>
    </row>
    <row r="47" spans="1:35" ht="70.2" customHeight="1">
      <c r="A47" s="5" t="s">
        <v>44</v>
      </c>
      <c r="B47" s="5" t="s">
        <v>45</v>
      </c>
      <c r="C47" s="11">
        <v>2</v>
      </c>
      <c r="D47" s="4" t="s">
        <v>70</v>
      </c>
      <c r="E47" s="167" t="s">
        <v>424</v>
      </c>
      <c r="F47" s="4" t="s">
        <v>125</v>
      </c>
      <c r="G47" s="4" t="s">
        <v>72</v>
      </c>
      <c r="H47" s="4" t="s">
        <v>126</v>
      </c>
      <c r="I47" s="102" t="s">
        <v>82</v>
      </c>
      <c r="J47" s="4" t="s">
        <v>366</v>
      </c>
      <c r="K47" s="102" t="s">
        <v>129</v>
      </c>
      <c r="L47" s="5" t="s">
        <v>66</v>
      </c>
      <c r="M47" s="5" t="s">
        <v>127</v>
      </c>
      <c r="N47" s="6" t="s">
        <v>43</v>
      </c>
      <c r="O47" s="5" t="s">
        <v>67</v>
      </c>
      <c r="P47" s="7"/>
      <c r="Q47" s="8">
        <v>0</v>
      </c>
      <c r="R47" s="8">
        <f t="shared" si="4"/>
        <v>0</v>
      </c>
      <c r="S47" s="7"/>
      <c r="T47" s="8">
        <v>0</v>
      </c>
      <c r="U47" s="8">
        <f t="shared" si="5"/>
        <v>0</v>
      </c>
      <c r="V47" s="7"/>
      <c r="W47" s="8">
        <v>0</v>
      </c>
      <c r="X47" s="8">
        <f t="shared" si="6"/>
        <v>0</v>
      </c>
      <c r="Y47" s="7">
        <v>100</v>
      </c>
      <c r="Z47" s="8">
        <v>60</v>
      </c>
      <c r="AA47" s="8">
        <f t="shared" si="1"/>
        <v>6000</v>
      </c>
      <c r="AB47" s="7">
        <v>100</v>
      </c>
      <c r="AC47" s="8">
        <v>60</v>
      </c>
      <c r="AD47" s="8">
        <f t="shared" si="2"/>
        <v>6000</v>
      </c>
      <c r="AE47" s="9">
        <f t="shared" si="0"/>
        <v>12000</v>
      </c>
      <c r="AF47" s="5" t="s">
        <v>41</v>
      </c>
      <c r="AG47" s="110" t="s">
        <v>130</v>
      </c>
      <c r="AH47" s="8">
        <f t="shared" si="7"/>
        <v>0</v>
      </c>
      <c r="AI47" s="1"/>
    </row>
    <row r="48" spans="1:35" ht="70.2" customHeight="1">
      <c r="A48" s="5" t="s">
        <v>169</v>
      </c>
      <c r="B48" s="5" t="s">
        <v>170</v>
      </c>
      <c r="C48" s="5">
        <v>11</v>
      </c>
      <c r="D48" s="4" t="s">
        <v>70</v>
      </c>
      <c r="E48" s="4" t="s">
        <v>427</v>
      </c>
      <c r="F48" s="4" t="s">
        <v>125</v>
      </c>
      <c r="G48" s="4" t="s">
        <v>131</v>
      </c>
      <c r="H48" s="4" t="s">
        <v>126</v>
      </c>
      <c r="I48" s="5" t="s">
        <v>132</v>
      </c>
      <c r="J48" s="4" t="s">
        <v>364</v>
      </c>
      <c r="K48" s="132" t="s">
        <v>133</v>
      </c>
      <c r="L48" s="5" t="s">
        <v>134</v>
      </c>
      <c r="M48" s="5" t="s">
        <v>127</v>
      </c>
      <c r="N48" s="6" t="s">
        <v>40</v>
      </c>
      <c r="O48" s="19" t="s">
        <v>35</v>
      </c>
      <c r="P48" s="7">
        <v>1</v>
      </c>
      <c r="Q48" s="8">
        <v>15700</v>
      </c>
      <c r="R48" s="8">
        <f>P48*Q48</f>
        <v>15700</v>
      </c>
      <c r="S48" s="7">
        <v>1</v>
      </c>
      <c r="T48" s="8">
        <v>16171</v>
      </c>
      <c r="U48" s="8">
        <f>S48*T48</f>
        <v>16171</v>
      </c>
      <c r="V48" s="7">
        <v>1</v>
      </c>
      <c r="W48" s="8">
        <v>16656.13</v>
      </c>
      <c r="X48" s="8">
        <f>V48*W48</f>
        <v>16656.13</v>
      </c>
      <c r="Y48" s="7"/>
      <c r="Z48" s="8"/>
      <c r="AA48" s="8">
        <f t="shared" si="1"/>
        <v>0</v>
      </c>
      <c r="AB48" s="7"/>
      <c r="AC48" s="8"/>
      <c r="AD48" s="8">
        <f t="shared" si="2"/>
        <v>0</v>
      </c>
      <c r="AE48" s="9">
        <f t="shared" si="0"/>
        <v>48527.130000000005</v>
      </c>
      <c r="AF48" s="19" t="s">
        <v>34</v>
      </c>
      <c r="AG48" s="20" t="s">
        <v>135</v>
      </c>
      <c r="AH48" s="8">
        <f t="shared" si="7"/>
        <v>48527.130000000005</v>
      </c>
      <c r="AI48" s="1"/>
    </row>
    <row r="49" spans="1:35" ht="158.4">
      <c r="A49" s="5" t="s">
        <v>44</v>
      </c>
      <c r="B49" s="5" t="s">
        <v>45</v>
      </c>
      <c r="C49" s="11">
        <v>10</v>
      </c>
      <c r="D49" s="4" t="s">
        <v>70</v>
      </c>
      <c r="E49" s="167" t="s">
        <v>424</v>
      </c>
      <c r="F49" s="4" t="s">
        <v>125</v>
      </c>
      <c r="G49" s="4" t="s">
        <v>72</v>
      </c>
      <c r="H49" s="4" t="s">
        <v>126</v>
      </c>
      <c r="I49" s="4" t="s">
        <v>88</v>
      </c>
      <c r="J49" s="4" t="s">
        <v>364</v>
      </c>
      <c r="K49" s="131" t="s">
        <v>396</v>
      </c>
      <c r="L49" s="5" t="s">
        <v>137</v>
      </c>
      <c r="M49" s="5" t="s">
        <v>127</v>
      </c>
      <c r="N49" s="6" t="s">
        <v>43</v>
      </c>
      <c r="O49" s="5"/>
      <c r="P49" s="7">
        <v>1</v>
      </c>
      <c r="Q49" s="8">
        <v>15998.6</v>
      </c>
      <c r="R49" s="8">
        <f t="shared" si="4"/>
        <v>15998.6</v>
      </c>
      <c r="S49" s="7">
        <v>1</v>
      </c>
      <c r="T49" s="8">
        <v>15998.6</v>
      </c>
      <c r="U49" s="8">
        <f t="shared" si="5"/>
        <v>15998.6</v>
      </c>
      <c r="V49" s="7">
        <v>1</v>
      </c>
      <c r="W49" s="8">
        <v>16000</v>
      </c>
      <c r="X49" s="8">
        <f t="shared" si="6"/>
        <v>16000</v>
      </c>
      <c r="Y49" s="7"/>
      <c r="Z49" s="8">
        <v>0</v>
      </c>
      <c r="AA49" s="8">
        <f t="shared" si="1"/>
        <v>0</v>
      </c>
      <c r="AB49" s="7"/>
      <c r="AC49" s="8">
        <v>0</v>
      </c>
      <c r="AD49" s="8">
        <f t="shared" si="2"/>
        <v>0</v>
      </c>
      <c r="AE49" s="9">
        <f t="shared" si="0"/>
        <v>47997.2</v>
      </c>
      <c r="AF49" s="5" t="s">
        <v>41</v>
      </c>
      <c r="AG49" s="20" t="s">
        <v>138</v>
      </c>
      <c r="AH49" s="8">
        <f t="shared" si="7"/>
        <v>47997.2</v>
      </c>
      <c r="AI49" s="71">
        <f>AE49</f>
        <v>47997.2</v>
      </c>
    </row>
    <row r="50" spans="1:35" ht="158.4">
      <c r="A50" s="5" t="s">
        <v>44</v>
      </c>
      <c r="B50" s="5" t="s">
        <v>45</v>
      </c>
      <c r="C50" s="11">
        <v>10</v>
      </c>
      <c r="D50" s="4" t="s">
        <v>70</v>
      </c>
      <c r="E50" s="4" t="s">
        <v>424</v>
      </c>
      <c r="F50" s="4" t="s">
        <v>125</v>
      </c>
      <c r="G50" s="4" t="s">
        <v>72</v>
      </c>
      <c r="H50" s="4" t="s">
        <v>126</v>
      </c>
      <c r="I50" s="4" t="s">
        <v>88</v>
      </c>
      <c r="J50" s="4" t="s">
        <v>364</v>
      </c>
      <c r="K50" s="102" t="s">
        <v>136</v>
      </c>
      <c r="L50" s="5" t="s">
        <v>137</v>
      </c>
      <c r="M50" s="5" t="s">
        <v>127</v>
      </c>
      <c r="N50" s="6" t="s">
        <v>43</v>
      </c>
      <c r="O50" s="5"/>
      <c r="P50" s="7"/>
      <c r="Q50" s="8">
        <v>0</v>
      </c>
      <c r="R50" s="8">
        <f t="shared" si="4"/>
        <v>0</v>
      </c>
      <c r="S50" s="7"/>
      <c r="T50" s="8">
        <v>0</v>
      </c>
      <c r="U50" s="8">
        <f t="shared" si="5"/>
        <v>0</v>
      </c>
      <c r="V50" s="7"/>
      <c r="W50" s="8">
        <v>0</v>
      </c>
      <c r="X50" s="8">
        <f t="shared" si="6"/>
        <v>0</v>
      </c>
      <c r="Y50" s="7">
        <v>1</v>
      </c>
      <c r="Z50" s="8">
        <v>16000</v>
      </c>
      <c r="AA50" s="8">
        <f t="shared" si="1"/>
        <v>16000</v>
      </c>
      <c r="AB50" s="7">
        <v>1</v>
      </c>
      <c r="AC50" s="8">
        <v>16000</v>
      </c>
      <c r="AD50" s="8">
        <f t="shared" si="2"/>
        <v>16000</v>
      </c>
      <c r="AE50" s="9">
        <f t="shared" si="0"/>
        <v>32000</v>
      </c>
      <c r="AF50" s="5" t="s">
        <v>41</v>
      </c>
      <c r="AG50" s="20" t="s">
        <v>138</v>
      </c>
      <c r="AH50" s="8">
        <f t="shared" si="7"/>
        <v>0</v>
      </c>
      <c r="AI50" s="1"/>
    </row>
    <row r="51" spans="1:35" ht="92.4">
      <c r="A51" s="5" t="s">
        <v>44</v>
      </c>
      <c r="B51" s="5" t="s">
        <v>45</v>
      </c>
      <c r="C51" s="11">
        <v>2</v>
      </c>
      <c r="D51" s="4" t="s">
        <v>70</v>
      </c>
      <c r="E51" s="164" t="s">
        <v>423</v>
      </c>
      <c r="F51" s="4" t="s">
        <v>125</v>
      </c>
      <c r="G51" s="4" t="s">
        <v>72</v>
      </c>
      <c r="H51" s="4" t="s">
        <v>126</v>
      </c>
      <c r="I51" s="4" t="s">
        <v>88</v>
      </c>
      <c r="J51" s="4" t="s">
        <v>364</v>
      </c>
      <c r="K51" s="131" t="s">
        <v>297</v>
      </c>
      <c r="L51" s="5" t="s">
        <v>139</v>
      </c>
      <c r="M51" s="5" t="s">
        <v>127</v>
      </c>
      <c r="N51" s="6" t="s">
        <v>43</v>
      </c>
      <c r="O51" s="5" t="s">
        <v>67</v>
      </c>
      <c r="P51" s="7">
        <f>300-50</f>
        <v>250</v>
      </c>
      <c r="Q51" s="8">
        <v>30</v>
      </c>
      <c r="R51" s="8">
        <f t="shared" si="4"/>
        <v>7500</v>
      </c>
      <c r="S51" s="7">
        <v>250</v>
      </c>
      <c r="T51" s="8">
        <v>30</v>
      </c>
      <c r="U51" s="8">
        <f t="shared" si="5"/>
        <v>7500</v>
      </c>
      <c r="V51" s="7">
        <v>250</v>
      </c>
      <c r="W51" s="8">
        <v>30</v>
      </c>
      <c r="X51" s="8">
        <f t="shared" si="6"/>
        <v>7500</v>
      </c>
      <c r="Y51" s="7"/>
      <c r="Z51" s="8">
        <v>0</v>
      </c>
      <c r="AA51" s="8">
        <f t="shared" si="1"/>
        <v>0</v>
      </c>
      <c r="AB51" s="7"/>
      <c r="AC51" s="8">
        <v>0</v>
      </c>
      <c r="AD51" s="8">
        <f t="shared" si="2"/>
        <v>0</v>
      </c>
      <c r="AE51" s="9">
        <f t="shared" si="0"/>
        <v>22500</v>
      </c>
      <c r="AF51" s="5" t="s">
        <v>41</v>
      </c>
      <c r="AG51" s="110" t="s">
        <v>299</v>
      </c>
      <c r="AH51" s="8">
        <f t="shared" si="7"/>
        <v>22500</v>
      </c>
      <c r="AI51" s="71">
        <f>AE51</f>
        <v>22500</v>
      </c>
    </row>
    <row r="52" spans="1:35" ht="70.2" customHeight="1">
      <c r="A52" s="5" t="s">
        <v>44</v>
      </c>
      <c r="B52" s="5" t="s">
        <v>45</v>
      </c>
      <c r="C52" s="11">
        <v>2</v>
      </c>
      <c r="D52" s="4" t="s">
        <v>70</v>
      </c>
      <c r="E52" s="164" t="s">
        <v>423</v>
      </c>
      <c r="F52" s="4" t="s">
        <v>125</v>
      </c>
      <c r="G52" s="4" t="s">
        <v>72</v>
      </c>
      <c r="H52" s="4" t="s">
        <v>126</v>
      </c>
      <c r="I52" s="4" t="s">
        <v>88</v>
      </c>
      <c r="J52" s="4" t="s">
        <v>364</v>
      </c>
      <c r="K52" s="102" t="s">
        <v>297</v>
      </c>
      <c r="L52" s="5" t="s">
        <v>139</v>
      </c>
      <c r="M52" s="5" t="s">
        <v>127</v>
      </c>
      <c r="N52" s="6" t="s">
        <v>43</v>
      </c>
      <c r="O52" s="5" t="s">
        <v>67</v>
      </c>
      <c r="P52" s="7"/>
      <c r="Q52" s="8">
        <v>0</v>
      </c>
      <c r="R52" s="8">
        <f t="shared" si="4"/>
        <v>0</v>
      </c>
      <c r="S52" s="7"/>
      <c r="T52" s="8">
        <v>0</v>
      </c>
      <c r="U52" s="8">
        <f t="shared" si="5"/>
        <v>0</v>
      </c>
      <c r="V52" s="7"/>
      <c r="W52" s="8">
        <v>0</v>
      </c>
      <c r="X52" s="8">
        <f t="shared" si="6"/>
        <v>0</v>
      </c>
      <c r="Y52" s="7">
        <v>250</v>
      </c>
      <c r="Z52" s="8">
        <v>30</v>
      </c>
      <c r="AA52" s="8">
        <f t="shared" si="1"/>
        <v>7500</v>
      </c>
      <c r="AB52" s="7">
        <v>250</v>
      </c>
      <c r="AC52" s="8">
        <v>30</v>
      </c>
      <c r="AD52" s="8">
        <f t="shared" si="2"/>
        <v>7500</v>
      </c>
      <c r="AE52" s="9">
        <f t="shared" si="0"/>
        <v>15000</v>
      </c>
      <c r="AF52" s="5" t="s">
        <v>41</v>
      </c>
      <c r="AG52" s="110" t="s">
        <v>140</v>
      </c>
      <c r="AH52" s="8">
        <f t="shared" si="7"/>
        <v>0</v>
      </c>
      <c r="AI52" s="1"/>
    </row>
    <row r="53" spans="1:35" ht="70.2" customHeight="1">
      <c r="A53" s="5" t="s">
        <v>44</v>
      </c>
      <c r="B53" s="5" t="s">
        <v>45</v>
      </c>
      <c r="C53" s="11">
        <v>10</v>
      </c>
      <c r="D53" s="4" t="s">
        <v>70</v>
      </c>
      <c r="E53" s="164" t="s">
        <v>423</v>
      </c>
      <c r="F53" s="4" t="s">
        <v>125</v>
      </c>
      <c r="G53" s="4" t="s">
        <v>72</v>
      </c>
      <c r="H53" s="4" t="s">
        <v>126</v>
      </c>
      <c r="I53" s="4" t="s">
        <v>88</v>
      </c>
      <c r="J53" s="4" t="s">
        <v>364</v>
      </c>
      <c r="K53" s="131" t="s">
        <v>397</v>
      </c>
      <c r="L53" s="5" t="s">
        <v>142</v>
      </c>
      <c r="M53" s="5" t="s">
        <v>127</v>
      </c>
      <c r="N53" s="6" t="s">
        <v>43</v>
      </c>
      <c r="O53" s="5" t="s">
        <v>67</v>
      </c>
      <c r="P53" s="7">
        <v>250</v>
      </c>
      <c r="Q53" s="8">
        <v>19.2</v>
      </c>
      <c r="R53" s="8">
        <f t="shared" si="4"/>
        <v>4800</v>
      </c>
      <c r="S53" s="7">
        <v>250</v>
      </c>
      <c r="T53" s="8">
        <v>19.2</v>
      </c>
      <c r="U53" s="8">
        <f t="shared" si="5"/>
        <v>4800</v>
      </c>
      <c r="V53" s="7">
        <v>250</v>
      </c>
      <c r="W53" s="8">
        <v>19.2</v>
      </c>
      <c r="X53" s="8">
        <f t="shared" si="6"/>
        <v>4800</v>
      </c>
      <c r="Y53" s="7">
        <v>0</v>
      </c>
      <c r="Z53" s="8">
        <v>0</v>
      </c>
      <c r="AA53" s="8">
        <f t="shared" si="1"/>
        <v>0</v>
      </c>
      <c r="AB53" s="7"/>
      <c r="AC53" s="8">
        <v>0</v>
      </c>
      <c r="AD53" s="8">
        <f t="shared" si="2"/>
        <v>0</v>
      </c>
      <c r="AE53" s="9">
        <f t="shared" si="0"/>
        <v>14400</v>
      </c>
      <c r="AF53" s="5" t="s">
        <v>41</v>
      </c>
      <c r="AG53" s="109" t="s">
        <v>300</v>
      </c>
      <c r="AH53" s="8">
        <f t="shared" si="7"/>
        <v>14400</v>
      </c>
      <c r="AI53" s="71">
        <f>AE53</f>
        <v>14400</v>
      </c>
    </row>
    <row r="54" spans="1:35" ht="92.4">
      <c r="A54" s="5" t="s">
        <v>44</v>
      </c>
      <c r="B54" s="5" t="s">
        <v>45</v>
      </c>
      <c r="C54" s="11">
        <v>10</v>
      </c>
      <c r="D54" s="4" t="s">
        <v>70</v>
      </c>
      <c r="E54" s="163" t="s">
        <v>423</v>
      </c>
      <c r="F54" s="4" t="s">
        <v>125</v>
      </c>
      <c r="G54" s="4" t="s">
        <v>72</v>
      </c>
      <c r="H54" s="4" t="s">
        <v>126</v>
      </c>
      <c r="I54" s="4" t="s">
        <v>88</v>
      </c>
      <c r="J54" s="4" t="s">
        <v>364</v>
      </c>
      <c r="K54" s="102" t="s">
        <v>141</v>
      </c>
      <c r="L54" s="5" t="s">
        <v>142</v>
      </c>
      <c r="M54" s="5" t="s">
        <v>127</v>
      </c>
      <c r="N54" s="6" t="s">
        <v>43</v>
      </c>
      <c r="O54" s="5"/>
      <c r="P54" s="7">
        <v>0</v>
      </c>
      <c r="Q54" s="8">
        <v>0</v>
      </c>
      <c r="R54" s="8">
        <f t="shared" si="4"/>
        <v>0</v>
      </c>
      <c r="S54" s="7"/>
      <c r="T54" s="8">
        <v>0</v>
      </c>
      <c r="U54" s="8">
        <f t="shared" si="5"/>
        <v>0</v>
      </c>
      <c r="V54" s="7"/>
      <c r="W54" s="8">
        <v>0</v>
      </c>
      <c r="X54" s="8">
        <f t="shared" si="6"/>
        <v>0</v>
      </c>
      <c r="Y54" s="7">
        <v>350</v>
      </c>
      <c r="Z54" s="8">
        <v>20.57</v>
      </c>
      <c r="AA54" s="8">
        <f t="shared" si="1"/>
        <v>7199.5</v>
      </c>
      <c r="AB54" s="7">
        <v>350</v>
      </c>
      <c r="AC54" s="8">
        <v>20.57</v>
      </c>
      <c r="AD54" s="8">
        <f t="shared" si="2"/>
        <v>7199.5</v>
      </c>
      <c r="AE54" s="9">
        <f t="shared" si="0"/>
        <v>14399</v>
      </c>
      <c r="AF54" s="5" t="s">
        <v>41</v>
      </c>
      <c r="AG54" s="109" t="s">
        <v>143</v>
      </c>
      <c r="AH54" s="8">
        <f t="shared" si="7"/>
        <v>0</v>
      </c>
      <c r="AI54" s="1"/>
    </row>
    <row r="55" spans="1:35" ht="70.2" customHeight="1">
      <c r="A55" s="5" t="s">
        <v>144</v>
      </c>
      <c r="B55" s="5" t="s">
        <v>145</v>
      </c>
      <c r="C55" s="11">
        <v>10</v>
      </c>
      <c r="D55" s="4" t="s">
        <v>70</v>
      </c>
      <c r="E55" s="163" t="s">
        <v>423</v>
      </c>
      <c r="F55" s="3" t="s">
        <v>146</v>
      </c>
      <c r="G55" s="20" t="s">
        <v>147</v>
      </c>
      <c r="H55" s="5" t="s">
        <v>148</v>
      </c>
      <c r="I55" s="111" t="s">
        <v>82</v>
      </c>
      <c r="J55" s="112" t="s">
        <v>364</v>
      </c>
      <c r="K55" s="102" t="s">
        <v>303</v>
      </c>
      <c r="L55" s="5" t="s">
        <v>149</v>
      </c>
      <c r="M55" s="5" t="s">
        <v>127</v>
      </c>
      <c r="N55" s="6" t="s">
        <v>43</v>
      </c>
      <c r="O55" s="11" t="s">
        <v>35</v>
      </c>
      <c r="P55" s="7">
        <v>1</v>
      </c>
      <c r="Q55" s="8">
        <v>9995</v>
      </c>
      <c r="R55" s="8">
        <f t="shared" si="4"/>
        <v>9995</v>
      </c>
      <c r="S55" s="7">
        <v>1</v>
      </c>
      <c r="T55" s="8">
        <v>9995</v>
      </c>
      <c r="U55" s="8">
        <f t="shared" si="5"/>
        <v>9995</v>
      </c>
      <c r="V55" s="7">
        <v>1</v>
      </c>
      <c r="W55" s="8">
        <v>9995</v>
      </c>
      <c r="X55" s="8">
        <f t="shared" si="6"/>
        <v>9995</v>
      </c>
      <c r="Y55" s="7">
        <v>1</v>
      </c>
      <c r="Z55" s="8">
        <v>9995</v>
      </c>
      <c r="AA55" s="8">
        <f t="shared" si="1"/>
        <v>9995</v>
      </c>
      <c r="AB55" s="7">
        <v>1</v>
      </c>
      <c r="AC55" s="8">
        <v>9995</v>
      </c>
      <c r="AD55" s="8">
        <f t="shared" si="2"/>
        <v>9995</v>
      </c>
      <c r="AE55" s="9">
        <f t="shared" si="0"/>
        <v>49975</v>
      </c>
      <c r="AF55" s="5" t="s">
        <v>41</v>
      </c>
      <c r="AG55" s="105" t="s">
        <v>150</v>
      </c>
      <c r="AH55" s="8">
        <f t="shared" si="7"/>
        <v>29985</v>
      </c>
      <c r="AI55" s="1"/>
    </row>
    <row r="56" spans="1:35" ht="70.2" customHeight="1">
      <c r="A56" s="5" t="s">
        <v>151</v>
      </c>
      <c r="B56" s="5" t="s">
        <v>152</v>
      </c>
      <c r="C56" s="11">
        <v>5</v>
      </c>
      <c r="D56" s="3" t="s">
        <v>153</v>
      </c>
      <c r="E56" s="3" t="s">
        <v>426</v>
      </c>
      <c r="F56" s="3" t="s">
        <v>154</v>
      </c>
      <c r="G56" s="4" t="s">
        <v>155</v>
      </c>
      <c r="H56" s="4" t="s">
        <v>156</v>
      </c>
      <c r="I56" s="102" t="s">
        <v>82</v>
      </c>
      <c r="J56" s="4" t="s">
        <v>367</v>
      </c>
      <c r="K56" s="102" t="s">
        <v>157</v>
      </c>
      <c r="L56" s="21" t="s">
        <v>99</v>
      </c>
      <c r="M56" s="5" t="s">
        <v>158</v>
      </c>
      <c r="N56" s="6" t="s">
        <v>52</v>
      </c>
      <c r="O56" s="5" t="s">
        <v>35</v>
      </c>
      <c r="P56" s="7">
        <v>900</v>
      </c>
      <c r="Q56" s="8">
        <v>17.75</v>
      </c>
      <c r="R56" s="8">
        <f>P56*Q56</f>
        <v>15975</v>
      </c>
      <c r="S56" s="7">
        <v>900</v>
      </c>
      <c r="T56" s="8">
        <v>17.75</v>
      </c>
      <c r="U56" s="8">
        <f>S56*T56</f>
        <v>15975</v>
      </c>
      <c r="V56" s="7">
        <v>900</v>
      </c>
      <c r="W56" s="8">
        <v>17.75</v>
      </c>
      <c r="X56" s="8">
        <f>V56*W56</f>
        <v>15975</v>
      </c>
      <c r="Y56" s="7">
        <v>0</v>
      </c>
      <c r="Z56" s="8">
        <v>0</v>
      </c>
      <c r="AA56" s="8">
        <f t="shared" si="1"/>
        <v>0</v>
      </c>
      <c r="AB56" s="7">
        <v>0</v>
      </c>
      <c r="AC56" s="8">
        <v>0</v>
      </c>
      <c r="AD56" s="8">
        <f t="shared" si="2"/>
        <v>0</v>
      </c>
      <c r="AE56" s="9">
        <f t="shared" si="0"/>
        <v>47925</v>
      </c>
      <c r="AF56" s="5" t="s">
        <v>41</v>
      </c>
      <c r="AG56" s="16" t="s">
        <v>159</v>
      </c>
      <c r="AH56" s="8">
        <f t="shared" si="7"/>
        <v>47925</v>
      </c>
      <c r="AI56" s="1"/>
    </row>
    <row r="57" spans="1:35" ht="70.2" customHeight="1">
      <c r="A57" s="5" t="s">
        <v>151</v>
      </c>
      <c r="B57" s="5" t="s">
        <v>152</v>
      </c>
      <c r="C57" s="11">
        <v>5</v>
      </c>
      <c r="D57" s="3" t="s">
        <v>153</v>
      </c>
      <c r="E57" s="3" t="s">
        <v>426</v>
      </c>
      <c r="F57" s="3" t="s">
        <v>154</v>
      </c>
      <c r="G57" s="4" t="s">
        <v>155</v>
      </c>
      <c r="H57" s="4" t="s">
        <v>156</v>
      </c>
      <c r="I57" s="102" t="s">
        <v>82</v>
      </c>
      <c r="J57" s="4" t="s">
        <v>367</v>
      </c>
      <c r="K57" s="102" t="s">
        <v>157</v>
      </c>
      <c r="L57" s="21" t="s">
        <v>99</v>
      </c>
      <c r="M57" s="5" t="s">
        <v>158</v>
      </c>
      <c r="N57" s="6" t="s">
        <v>43</v>
      </c>
      <c r="O57" s="21" t="s">
        <v>35</v>
      </c>
      <c r="P57" s="7">
        <v>0</v>
      </c>
      <c r="Q57" s="8">
        <v>0</v>
      </c>
      <c r="R57" s="8">
        <f t="shared" ref="R57" si="16">P57*Q57</f>
        <v>0</v>
      </c>
      <c r="S57" s="7">
        <v>0</v>
      </c>
      <c r="T57" s="8">
        <v>0</v>
      </c>
      <c r="U57" s="8">
        <f t="shared" ref="U57" si="17">+S57*T57</f>
        <v>0</v>
      </c>
      <c r="V57" s="7">
        <v>0</v>
      </c>
      <c r="W57" s="8">
        <v>0</v>
      </c>
      <c r="X57" s="8">
        <f t="shared" ref="X57" si="18">+V57*W57</f>
        <v>0</v>
      </c>
      <c r="Y57" s="7">
        <v>900</v>
      </c>
      <c r="Z57" s="8">
        <v>17.75</v>
      </c>
      <c r="AA57" s="8">
        <f t="shared" ref="AA57" si="19">+Y57*Z57</f>
        <v>15975</v>
      </c>
      <c r="AB57" s="7">
        <v>900</v>
      </c>
      <c r="AC57" s="8">
        <v>17.75</v>
      </c>
      <c r="AD57" s="8">
        <f t="shared" ref="AD57" si="20">+AB57*AC57</f>
        <v>15975</v>
      </c>
      <c r="AE57" s="9">
        <f t="shared" si="0"/>
        <v>31950</v>
      </c>
      <c r="AF57" s="5" t="s">
        <v>41</v>
      </c>
      <c r="AG57" s="16" t="s">
        <v>159</v>
      </c>
      <c r="AH57" s="8">
        <f t="shared" ref="AH57" si="21">+R57+U57+X57</f>
        <v>0</v>
      </c>
      <c r="AI57" s="1"/>
    </row>
    <row r="58" spans="1:35" ht="70.2" customHeight="1">
      <c r="A58" s="5" t="s">
        <v>151</v>
      </c>
      <c r="B58" s="5" t="s">
        <v>152</v>
      </c>
      <c r="C58" s="11">
        <v>5</v>
      </c>
      <c r="D58" s="3" t="s">
        <v>153</v>
      </c>
      <c r="E58" s="3" t="s">
        <v>426</v>
      </c>
      <c r="F58" s="3" t="s">
        <v>160</v>
      </c>
      <c r="G58" s="4" t="s">
        <v>155</v>
      </c>
      <c r="H58" s="4" t="s">
        <v>156</v>
      </c>
      <c r="I58" s="102" t="s">
        <v>82</v>
      </c>
      <c r="J58" s="4" t="s">
        <v>367</v>
      </c>
      <c r="K58" s="132" t="s">
        <v>161</v>
      </c>
      <c r="L58" s="21" t="s">
        <v>99</v>
      </c>
      <c r="M58" s="5" t="s">
        <v>158</v>
      </c>
      <c r="N58" s="6" t="s">
        <v>40</v>
      </c>
      <c r="O58" s="22" t="s">
        <v>162</v>
      </c>
      <c r="P58" s="7">
        <v>20000</v>
      </c>
      <c r="Q58" s="8">
        <v>0.4</v>
      </c>
      <c r="R58" s="8">
        <f>P58*Q58</f>
        <v>8000</v>
      </c>
      <c r="S58" s="7">
        <v>20000</v>
      </c>
      <c r="T58" s="8">
        <v>0.4</v>
      </c>
      <c r="U58" s="8">
        <f>S58*T58</f>
        <v>8000</v>
      </c>
      <c r="V58" s="7">
        <v>20000</v>
      </c>
      <c r="W58" s="8">
        <v>0.4</v>
      </c>
      <c r="X58" s="8">
        <f>V58*W58</f>
        <v>8000</v>
      </c>
      <c r="Y58" s="7"/>
      <c r="Z58" s="8">
        <v>0</v>
      </c>
      <c r="AA58" s="8">
        <f t="shared" si="1"/>
        <v>0</v>
      </c>
      <c r="AB58" s="7"/>
      <c r="AC58" s="8">
        <v>0</v>
      </c>
      <c r="AD58" s="8">
        <f t="shared" si="2"/>
        <v>0</v>
      </c>
      <c r="AE58" s="9">
        <f t="shared" si="0"/>
        <v>24000</v>
      </c>
      <c r="AF58" s="23" t="s">
        <v>34</v>
      </c>
      <c r="AG58" s="3" t="s">
        <v>163</v>
      </c>
      <c r="AH58" s="8">
        <f t="shared" si="7"/>
        <v>24000</v>
      </c>
      <c r="AI58" s="1"/>
    </row>
    <row r="59" spans="1:35" ht="70.2" customHeight="1">
      <c r="A59" s="5" t="s">
        <v>151</v>
      </c>
      <c r="B59" s="5" t="s">
        <v>152</v>
      </c>
      <c r="C59" s="11">
        <v>5</v>
      </c>
      <c r="D59" s="3" t="s">
        <v>153</v>
      </c>
      <c r="E59" s="3" t="s">
        <v>426</v>
      </c>
      <c r="F59" s="3" t="s">
        <v>160</v>
      </c>
      <c r="G59" s="4" t="s">
        <v>155</v>
      </c>
      <c r="H59" s="4" t="s">
        <v>156</v>
      </c>
      <c r="I59" s="102" t="s">
        <v>82</v>
      </c>
      <c r="J59" s="4" t="s">
        <v>367</v>
      </c>
      <c r="K59" s="4" t="s">
        <v>161</v>
      </c>
      <c r="L59" s="21" t="s">
        <v>99</v>
      </c>
      <c r="M59" s="5" t="s">
        <v>158</v>
      </c>
      <c r="N59" s="6" t="s">
        <v>43</v>
      </c>
      <c r="O59" s="22" t="s">
        <v>162</v>
      </c>
      <c r="P59" s="7"/>
      <c r="Q59" s="8">
        <v>0</v>
      </c>
      <c r="R59" s="8">
        <f t="shared" si="4"/>
        <v>0</v>
      </c>
      <c r="S59" s="7"/>
      <c r="T59" s="8">
        <v>0</v>
      </c>
      <c r="U59" s="8">
        <f t="shared" si="5"/>
        <v>0</v>
      </c>
      <c r="V59" s="7"/>
      <c r="W59" s="8">
        <v>0</v>
      </c>
      <c r="X59" s="8">
        <f t="shared" si="6"/>
        <v>0</v>
      </c>
      <c r="Y59" s="7">
        <v>37500</v>
      </c>
      <c r="Z59" s="8">
        <v>0.4</v>
      </c>
      <c r="AA59" s="8">
        <f t="shared" si="1"/>
        <v>15000</v>
      </c>
      <c r="AB59" s="7">
        <v>37500</v>
      </c>
      <c r="AC59" s="8">
        <v>0.4</v>
      </c>
      <c r="AD59" s="8">
        <f t="shared" si="2"/>
        <v>15000</v>
      </c>
      <c r="AE59" s="9">
        <f t="shared" si="0"/>
        <v>30000</v>
      </c>
      <c r="AF59" s="23" t="s">
        <v>34</v>
      </c>
      <c r="AG59" s="3" t="s">
        <v>163</v>
      </c>
      <c r="AH59" s="8">
        <f t="shared" si="7"/>
        <v>0</v>
      </c>
      <c r="AI59" s="1"/>
    </row>
    <row r="60" spans="1:35" ht="70.2" customHeight="1">
      <c r="A60" s="5" t="s">
        <v>151</v>
      </c>
      <c r="B60" s="5" t="s">
        <v>152</v>
      </c>
      <c r="C60" s="11">
        <v>5</v>
      </c>
      <c r="D60" s="3" t="s">
        <v>153</v>
      </c>
      <c r="E60" s="3" t="s">
        <v>426</v>
      </c>
      <c r="F60" s="3" t="s">
        <v>154</v>
      </c>
      <c r="G60" s="4" t="s">
        <v>155</v>
      </c>
      <c r="H60" s="5" t="s">
        <v>156</v>
      </c>
      <c r="I60" s="111" t="s">
        <v>164</v>
      </c>
      <c r="J60" s="4" t="s">
        <v>367</v>
      </c>
      <c r="K60" s="102" t="s">
        <v>165</v>
      </c>
      <c r="L60" s="5" t="s">
        <v>166</v>
      </c>
      <c r="M60" s="5"/>
      <c r="N60" s="6" t="s">
        <v>34</v>
      </c>
      <c r="O60" s="18" t="s">
        <v>35</v>
      </c>
      <c r="P60" s="7" t="s">
        <v>167</v>
      </c>
      <c r="Q60" s="8">
        <v>15000</v>
      </c>
      <c r="R60" s="8">
        <f>P60*Q60</f>
        <v>15000</v>
      </c>
      <c r="S60" s="7" t="s">
        <v>167</v>
      </c>
      <c r="T60" s="8">
        <v>15000</v>
      </c>
      <c r="U60" s="8">
        <f>+S60*T60</f>
        <v>15000</v>
      </c>
      <c r="V60" s="7" t="s">
        <v>167</v>
      </c>
      <c r="W60" s="8">
        <v>15000</v>
      </c>
      <c r="X60" s="8">
        <f>+V60*W60</f>
        <v>15000</v>
      </c>
      <c r="Y60" s="7">
        <v>1</v>
      </c>
      <c r="Z60" s="8">
        <v>5000</v>
      </c>
      <c r="AA60" s="8">
        <f>+Y60*Z60</f>
        <v>5000</v>
      </c>
      <c r="AB60" s="7">
        <v>1</v>
      </c>
      <c r="AC60" s="8">
        <v>5000</v>
      </c>
      <c r="AD60" s="8">
        <f>+AB60*AC60</f>
        <v>5000</v>
      </c>
      <c r="AE60" s="9">
        <f t="shared" si="0"/>
        <v>55000</v>
      </c>
      <c r="AF60" s="5" t="s">
        <v>41</v>
      </c>
      <c r="AG60" s="24" t="s">
        <v>168</v>
      </c>
      <c r="AH60" s="8">
        <f t="shared" si="7"/>
        <v>45000</v>
      </c>
      <c r="AI60" s="1"/>
    </row>
    <row r="61" spans="1:35" ht="70.2" customHeight="1">
      <c r="A61" s="5" t="s">
        <v>169</v>
      </c>
      <c r="B61" s="5" t="s">
        <v>170</v>
      </c>
      <c r="C61" s="11">
        <v>11</v>
      </c>
      <c r="D61" s="4" t="s">
        <v>70</v>
      </c>
      <c r="E61" s="4" t="s">
        <v>427</v>
      </c>
      <c r="F61" s="4" t="s">
        <v>125</v>
      </c>
      <c r="G61" s="4" t="s">
        <v>131</v>
      </c>
      <c r="H61" s="5" t="s">
        <v>171</v>
      </c>
      <c r="I61" s="5" t="s">
        <v>172</v>
      </c>
      <c r="J61" s="4" t="s">
        <v>364</v>
      </c>
      <c r="K61" s="132" t="s">
        <v>173</v>
      </c>
      <c r="L61" s="5" t="s">
        <v>134</v>
      </c>
      <c r="M61" s="5" t="s">
        <v>158</v>
      </c>
      <c r="N61" s="6" t="s">
        <v>40</v>
      </c>
      <c r="O61" s="19" t="s">
        <v>35</v>
      </c>
      <c r="P61" s="7">
        <v>1</v>
      </c>
      <c r="Q61" s="8">
        <v>3407.5</v>
      </c>
      <c r="R61" s="8">
        <f t="shared" si="4"/>
        <v>3407.5</v>
      </c>
      <c r="S61" s="7">
        <v>1</v>
      </c>
      <c r="T61" s="8">
        <v>2870.8</v>
      </c>
      <c r="U61" s="8">
        <f t="shared" ref="U61:U62" si="22">S61*T61</f>
        <v>2870.8</v>
      </c>
      <c r="V61" s="7">
        <v>1</v>
      </c>
      <c r="W61" s="8">
        <v>4553.5</v>
      </c>
      <c r="X61" s="8">
        <f t="shared" ref="X61:X62" si="23">V61*W61</f>
        <v>4553.5</v>
      </c>
      <c r="Y61" s="7"/>
      <c r="Z61" s="8"/>
      <c r="AA61" s="8">
        <f t="shared" si="1"/>
        <v>0</v>
      </c>
      <c r="AB61" s="7"/>
      <c r="AC61" s="8"/>
      <c r="AD61" s="8">
        <f t="shared" si="2"/>
        <v>0</v>
      </c>
      <c r="AE61" s="9">
        <f t="shared" si="0"/>
        <v>10831.8</v>
      </c>
      <c r="AF61" s="19" t="s">
        <v>34</v>
      </c>
      <c r="AG61" s="20" t="s">
        <v>174</v>
      </c>
      <c r="AH61" s="8">
        <f t="shared" si="7"/>
        <v>10831.8</v>
      </c>
      <c r="AI61" s="1"/>
    </row>
    <row r="62" spans="1:35" ht="70.2" customHeight="1">
      <c r="A62" s="5" t="s">
        <v>169</v>
      </c>
      <c r="B62" s="5" t="s">
        <v>170</v>
      </c>
      <c r="C62" s="11">
        <v>11</v>
      </c>
      <c r="D62" s="4" t="s">
        <v>70</v>
      </c>
      <c r="E62" s="4" t="s">
        <v>427</v>
      </c>
      <c r="F62" s="4" t="s">
        <v>125</v>
      </c>
      <c r="G62" s="4" t="s">
        <v>131</v>
      </c>
      <c r="H62" s="5" t="s">
        <v>171</v>
      </c>
      <c r="I62" s="5" t="s">
        <v>172</v>
      </c>
      <c r="J62" s="4" t="s">
        <v>364</v>
      </c>
      <c r="K62" s="132" t="s">
        <v>175</v>
      </c>
      <c r="L62" s="5" t="s">
        <v>134</v>
      </c>
      <c r="M62" s="5" t="s">
        <v>158</v>
      </c>
      <c r="N62" s="6" t="s">
        <v>40</v>
      </c>
      <c r="O62" s="19" t="s">
        <v>35</v>
      </c>
      <c r="P62" s="7">
        <v>1</v>
      </c>
      <c r="Q62" s="8">
        <v>13950</v>
      </c>
      <c r="R62" s="8">
        <f t="shared" si="4"/>
        <v>13950</v>
      </c>
      <c r="S62" s="7">
        <v>1</v>
      </c>
      <c r="T62" s="8">
        <v>19285.5</v>
      </c>
      <c r="U62" s="8">
        <f t="shared" si="22"/>
        <v>19285.5</v>
      </c>
      <c r="V62" s="7">
        <v>1</v>
      </c>
      <c r="W62" s="8">
        <v>22262</v>
      </c>
      <c r="X62" s="8">
        <f t="shared" si="23"/>
        <v>22262</v>
      </c>
      <c r="Y62" s="7"/>
      <c r="Z62" s="8"/>
      <c r="AA62" s="8">
        <f t="shared" si="1"/>
        <v>0</v>
      </c>
      <c r="AB62" s="7"/>
      <c r="AC62" s="8"/>
      <c r="AD62" s="8">
        <f t="shared" si="2"/>
        <v>0</v>
      </c>
      <c r="AE62" s="9">
        <f t="shared" si="0"/>
        <v>55497.5</v>
      </c>
      <c r="AF62" s="19" t="s">
        <v>34</v>
      </c>
      <c r="AG62" s="20" t="s">
        <v>176</v>
      </c>
      <c r="AH62" s="8">
        <f t="shared" si="7"/>
        <v>55497.5</v>
      </c>
      <c r="AI62" s="1"/>
    </row>
    <row r="63" spans="1:35" ht="70.2" customHeight="1">
      <c r="A63" s="5" t="s">
        <v>78</v>
      </c>
      <c r="B63" s="5" t="s">
        <v>79</v>
      </c>
      <c r="C63" s="11">
        <v>10</v>
      </c>
      <c r="D63" s="4" t="s">
        <v>70</v>
      </c>
      <c r="E63" s="4" t="s">
        <v>429</v>
      </c>
      <c r="F63" s="4" t="s">
        <v>177</v>
      </c>
      <c r="G63" s="4" t="s">
        <v>178</v>
      </c>
      <c r="H63" s="5" t="s">
        <v>281</v>
      </c>
      <c r="I63" s="5" t="s">
        <v>179</v>
      </c>
      <c r="J63" s="4" t="s">
        <v>364</v>
      </c>
      <c r="K63" s="102" t="s">
        <v>180</v>
      </c>
      <c r="L63" s="5" t="s">
        <v>181</v>
      </c>
      <c r="M63" s="5" t="s">
        <v>127</v>
      </c>
      <c r="N63" s="6" t="s">
        <v>52</v>
      </c>
      <c r="O63" s="19" t="s">
        <v>35</v>
      </c>
      <c r="P63" s="7" t="s">
        <v>167</v>
      </c>
      <c r="Q63" s="8">
        <v>20000</v>
      </c>
      <c r="R63" s="8">
        <f>P63*Q63</f>
        <v>20000</v>
      </c>
      <c r="S63" s="7" t="s">
        <v>167</v>
      </c>
      <c r="T63" s="8">
        <v>0</v>
      </c>
      <c r="U63" s="8">
        <f>S63*T63</f>
        <v>0</v>
      </c>
      <c r="V63" s="7">
        <v>1</v>
      </c>
      <c r="W63" s="8">
        <v>0</v>
      </c>
      <c r="X63" s="8">
        <f>V63*W63</f>
        <v>0</v>
      </c>
      <c r="Y63" s="7">
        <v>0</v>
      </c>
      <c r="Z63" s="8">
        <v>0</v>
      </c>
      <c r="AA63" s="8">
        <f t="shared" si="1"/>
        <v>0</v>
      </c>
      <c r="AB63" s="7">
        <v>1</v>
      </c>
      <c r="AC63" s="8">
        <v>0</v>
      </c>
      <c r="AD63" s="8">
        <f t="shared" si="2"/>
        <v>0</v>
      </c>
      <c r="AE63" s="9">
        <f t="shared" si="0"/>
        <v>20000</v>
      </c>
      <c r="AF63" s="5" t="s">
        <v>41</v>
      </c>
      <c r="AG63" s="24" t="s">
        <v>182</v>
      </c>
      <c r="AH63" s="8">
        <f t="shared" si="7"/>
        <v>20000</v>
      </c>
      <c r="AI63" s="1"/>
    </row>
    <row r="64" spans="1:35" ht="70.2" customHeight="1">
      <c r="A64" s="5" t="s">
        <v>144</v>
      </c>
      <c r="B64" s="5" t="s">
        <v>145</v>
      </c>
      <c r="C64" s="11">
        <v>3</v>
      </c>
      <c r="D64" s="4" t="s">
        <v>153</v>
      </c>
      <c r="E64" s="4" t="s">
        <v>428</v>
      </c>
      <c r="F64" s="4" t="s">
        <v>183</v>
      </c>
      <c r="G64" s="4" t="s">
        <v>184</v>
      </c>
      <c r="H64" s="4" t="s">
        <v>185</v>
      </c>
      <c r="I64" s="102" t="s">
        <v>82</v>
      </c>
      <c r="J64" s="102" t="s">
        <v>364</v>
      </c>
      <c r="K64" s="131" t="s">
        <v>395</v>
      </c>
      <c r="L64" s="5" t="s">
        <v>66</v>
      </c>
      <c r="M64" s="5" t="s">
        <v>158</v>
      </c>
      <c r="N64" s="6" t="s">
        <v>43</v>
      </c>
      <c r="O64" s="19" t="s">
        <v>35</v>
      </c>
      <c r="P64" s="7">
        <v>1</v>
      </c>
      <c r="Q64" s="8">
        <v>0</v>
      </c>
      <c r="R64" s="8">
        <f t="shared" si="4"/>
        <v>0</v>
      </c>
      <c r="S64" s="7">
        <v>1</v>
      </c>
      <c r="T64" s="8">
        <v>25000</v>
      </c>
      <c r="U64" s="8">
        <f t="shared" si="5"/>
        <v>25000</v>
      </c>
      <c r="V64" s="7">
        <v>1</v>
      </c>
      <c r="W64" s="8">
        <v>25000</v>
      </c>
      <c r="X64" s="8">
        <f t="shared" si="6"/>
        <v>25000</v>
      </c>
      <c r="Y64" s="7"/>
      <c r="Z64" s="8">
        <v>0</v>
      </c>
      <c r="AA64" s="8">
        <f t="shared" si="1"/>
        <v>0</v>
      </c>
      <c r="AB64" s="7"/>
      <c r="AC64" s="8">
        <v>0</v>
      </c>
      <c r="AD64" s="8">
        <f t="shared" si="2"/>
        <v>0</v>
      </c>
      <c r="AE64" s="9">
        <f t="shared" si="0"/>
        <v>50000</v>
      </c>
      <c r="AF64" s="5" t="s">
        <v>41</v>
      </c>
      <c r="AG64" s="16" t="s">
        <v>187</v>
      </c>
      <c r="AH64" s="8">
        <f t="shared" si="7"/>
        <v>50000</v>
      </c>
      <c r="AI64" s="71">
        <f>AE64</f>
        <v>50000</v>
      </c>
    </row>
    <row r="65" spans="1:35" ht="70.2" customHeight="1">
      <c r="A65" s="5" t="s">
        <v>144</v>
      </c>
      <c r="B65" s="5" t="s">
        <v>145</v>
      </c>
      <c r="C65" s="11">
        <v>3</v>
      </c>
      <c r="D65" s="4" t="s">
        <v>153</v>
      </c>
      <c r="E65" s="4" t="s">
        <v>428</v>
      </c>
      <c r="F65" s="4" t="s">
        <v>183</v>
      </c>
      <c r="G65" s="4" t="s">
        <v>184</v>
      </c>
      <c r="H65" s="4" t="s">
        <v>185</v>
      </c>
      <c r="I65" s="102" t="s">
        <v>82</v>
      </c>
      <c r="J65" s="102" t="s">
        <v>364</v>
      </c>
      <c r="K65" s="102" t="s">
        <v>186</v>
      </c>
      <c r="L65" s="5" t="s">
        <v>66</v>
      </c>
      <c r="M65" s="5" t="s">
        <v>158</v>
      </c>
      <c r="N65" s="6" t="s">
        <v>43</v>
      </c>
      <c r="O65" s="19" t="s">
        <v>35</v>
      </c>
      <c r="P65" s="7">
        <v>0</v>
      </c>
      <c r="Q65" s="8"/>
      <c r="R65" s="8">
        <f t="shared" si="4"/>
        <v>0</v>
      </c>
      <c r="S65" s="7"/>
      <c r="T65" s="8">
        <v>0</v>
      </c>
      <c r="U65" s="8">
        <f t="shared" si="5"/>
        <v>0</v>
      </c>
      <c r="V65" s="7"/>
      <c r="W65" s="8">
        <v>0</v>
      </c>
      <c r="X65" s="8">
        <f t="shared" si="6"/>
        <v>0</v>
      </c>
      <c r="Y65" s="7">
        <v>1</v>
      </c>
      <c r="Z65" s="8">
        <v>25000</v>
      </c>
      <c r="AA65" s="8">
        <f t="shared" si="1"/>
        <v>25000</v>
      </c>
      <c r="AB65" s="7">
        <v>1</v>
      </c>
      <c r="AC65" s="8">
        <v>25000</v>
      </c>
      <c r="AD65" s="8">
        <f t="shared" si="2"/>
        <v>25000</v>
      </c>
      <c r="AE65" s="9">
        <f t="shared" si="0"/>
        <v>50000</v>
      </c>
      <c r="AF65" s="5" t="s">
        <v>41</v>
      </c>
      <c r="AG65" s="16" t="s">
        <v>187</v>
      </c>
      <c r="AH65" s="8">
        <f t="shared" si="7"/>
        <v>0</v>
      </c>
      <c r="AI65" s="1"/>
    </row>
    <row r="66" spans="1:35" ht="70.2" customHeight="1">
      <c r="A66" s="5" t="s">
        <v>169</v>
      </c>
      <c r="B66" s="5" t="s">
        <v>170</v>
      </c>
      <c r="C66" s="5">
        <v>3</v>
      </c>
      <c r="D66" s="4" t="s">
        <v>153</v>
      </c>
      <c r="E66" s="4" t="s">
        <v>430</v>
      </c>
      <c r="F66" s="4" t="s">
        <v>183</v>
      </c>
      <c r="G66" s="4" t="s">
        <v>189</v>
      </c>
      <c r="H66" s="5" t="s">
        <v>185</v>
      </c>
      <c r="I66" s="111" t="s">
        <v>82</v>
      </c>
      <c r="J66" s="102" t="s">
        <v>364</v>
      </c>
      <c r="K66" s="102" t="s">
        <v>440</v>
      </c>
      <c r="L66" s="5" t="s">
        <v>95</v>
      </c>
      <c r="M66" s="5"/>
      <c r="N66" s="6" t="s">
        <v>52</v>
      </c>
      <c r="O66" s="19" t="s">
        <v>35</v>
      </c>
      <c r="P66" s="7">
        <v>1</v>
      </c>
      <c r="Q66" s="8">
        <v>45000</v>
      </c>
      <c r="R66" s="8">
        <f>P66*Q66</f>
        <v>45000</v>
      </c>
      <c r="S66" s="7">
        <v>1</v>
      </c>
      <c r="T66" s="8"/>
      <c r="U66" s="8">
        <f>S66*T66</f>
        <v>0</v>
      </c>
      <c r="V66" s="7">
        <v>0</v>
      </c>
      <c r="W66" s="8">
        <v>0</v>
      </c>
      <c r="X66" s="8">
        <f>V66*W66</f>
        <v>0</v>
      </c>
      <c r="Y66" s="7">
        <v>0</v>
      </c>
      <c r="Z66" s="8">
        <v>0</v>
      </c>
      <c r="AA66" s="8">
        <f t="shared" si="1"/>
        <v>0</v>
      </c>
      <c r="AB66" s="7">
        <v>1</v>
      </c>
      <c r="AC66" s="8">
        <v>0</v>
      </c>
      <c r="AD66" s="8">
        <f t="shared" si="2"/>
        <v>0</v>
      </c>
      <c r="AE66" s="9">
        <f t="shared" si="0"/>
        <v>45000</v>
      </c>
      <c r="AF66" s="5" t="s">
        <v>41</v>
      </c>
      <c r="AG66" s="16" t="s">
        <v>444</v>
      </c>
      <c r="AH66" s="8">
        <f t="shared" si="7"/>
        <v>45000</v>
      </c>
      <c r="AI66" s="1"/>
    </row>
    <row r="67" spans="1:35" ht="70.2" customHeight="1">
      <c r="A67" s="5" t="s">
        <v>169</v>
      </c>
      <c r="B67" s="5" t="s">
        <v>170</v>
      </c>
      <c r="C67" s="5">
        <v>3</v>
      </c>
      <c r="D67" s="4" t="s">
        <v>153</v>
      </c>
      <c r="E67" s="4" t="s">
        <v>430</v>
      </c>
      <c r="F67" s="4" t="s">
        <v>183</v>
      </c>
      <c r="G67" s="4" t="s">
        <v>189</v>
      </c>
      <c r="H67" s="5" t="s">
        <v>185</v>
      </c>
      <c r="I67" s="111" t="s">
        <v>82</v>
      </c>
      <c r="J67" s="102" t="s">
        <v>364</v>
      </c>
      <c r="K67" s="102" t="s">
        <v>441</v>
      </c>
      <c r="L67" s="5" t="s">
        <v>442</v>
      </c>
      <c r="M67" s="5"/>
      <c r="N67" s="6" t="s">
        <v>43</v>
      </c>
      <c r="O67" s="19" t="s">
        <v>35</v>
      </c>
      <c r="P67" s="7">
        <v>1</v>
      </c>
      <c r="Q67" s="8"/>
      <c r="R67" s="8">
        <f>P67*Q67</f>
        <v>0</v>
      </c>
      <c r="S67" s="7">
        <v>1</v>
      </c>
      <c r="T67" s="8">
        <v>90400</v>
      </c>
      <c r="U67" s="8">
        <f>S67*T67</f>
        <v>90400</v>
      </c>
      <c r="V67" s="7">
        <v>0</v>
      </c>
      <c r="W67" s="8">
        <v>0</v>
      </c>
      <c r="X67" s="8">
        <f>V67*W67</f>
        <v>0</v>
      </c>
      <c r="Y67" s="7">
        <v>0</v>
      </c>
      <c r="Z67" s="8">
        <v>0</v>
      </c>
      <c r="AA67" s="8">
        <f t="shared" ref="AA67" si="24">+Y67*Z67</f>
        <v>0</v>
      </c>
      <c r="AB67" s="7">
        <v>1</v>
      </c>
      <c r="AC67" s="8">
        <v>0</v>
      </c>
      <c r="AD67" s="8">
        <f t="shared" ref="AD67" si="25">+AB67*AC67</f>
        <v>0</v>
      </c>
      <c r="AE67" s="9">
        <f t="shared" ref="AE67" si="26">+R67+U67+X67+AA67+AD67</f>
        <v>90400</v>
      </c>
      <c r="AF67" s="5" t="s">
        <v>41</v>
      </c>
      <c r="AG67" s="16" t="s">
        <v>443</v>
      </c>
      <c r="AH67" s="8">
        <f t="shared" ref="AH67" si="27">+R67+U67+X67</f>
        <v>90400</v>
      </c>
      <c r="AI67" s="1"/>
    </row>
    <row r="68" spans="1:35" ht="70.2" customHeight="1">
      <c r="A68" s="5" t="s">
        <v>169</v>
      </c>
      <c r="B68" s="5" t="s">
        <v>170</v>
      </c>
      <c r="C68" s="11">
        <v>2</v>
      </c>
      <c r="D68" s="4" t="s">
        <v>153</v>
      </c>
      <c r="E68" s="4" t="s">
        <v>427</v>
      </c>
      <c r="F68" s="4" t="s">
        <v>190</v>
      </c>
      <c r="G68" s="4" t="s">
        <v>184</v>
      </c>
      <c r="H68" s="5" t="s">
        <v>191</v>
      </c>
      <c r="I68" s="5" t="s">
        <v>49</v>
      </c>
      <c r="J68" s="4" t="s">
        <v>364</v>
      </c>
      <c r="K68" s="132" t="s">
        <v>192</v>
      </c>
      <c r="L68" s="5" t="s">
        <v>32</v>
      </c>
      <c r="M68" s="5" t="s">
        <v>158</v>
      </c>
      <c r="N68" s="6" t="s">
        <v>40</v>
      </c>
      <c r="O68" s="19" t="s">
        <v>35</v>
      </c>
      <c r="P68" s="7">
        <v>1</v>
      </c>
      <c r="Q68" s="8">
        <v>3108.5</v>
      </c>
      <c r="R68" s="8">
        <f>P68*Q68</f>
        <v>3108.5</v>
      </c>
      <c r="S68" s="7">
        <v>1</v>
      </c>
      <c r="T68" s="8">
        <v>0</v>
      </c>
      <c r="U68" s="8">
        <f t="shared" ref="U68:U69" si="28">S68*T68</f>
        <v>0</v>
      </c>
      <c r="V68" s="7">
        <v>1</v>
      </c>
      <c r="W68" s="8">
        <v>3108.5</v>
      </c>
      <c r="X68" s="8">
        <f t="shared" ref="X68:X69" si="29">V68*W68</f>
        <v>3108.5</v>
      </c>
      <c r="Y68" s="7">
        <v>0</v>
      </c>
      <c r="Z68" s="8">
        <v>0</v>
      </c>
      <c r="AA68" s="8">
        <f t="shared" si="1"/>
        <v>0</v>
      </c>
      <c r="AB68" s="7">
        <v>0</v>
      </c>
      <c r="AC68" s="8">
        <v>0</v>
      </c>
      <c r="AD68" s="8">
        <f t="shared" si="2"/>
        <v>0</v>
      </c>
      <c r="AE68" s="9">
        <f t="shared" si="0"/>
        <v>6217</v>
      </c>
      <c r="AF68" s="19" t="s">
        <v>34</v>
      </c>
      <c r="AG68" s="20" t="s">
        <v>193</v>
      </c>
      <c r="AH68" s="8">
        <f t="shared" si="7"/>
        <v>6217</v>
      </c>
      <c r="AI68" s="130">
        <f>AE68</f>
        <v>6217</v>
      </c>
    </row>
    <row r="69" spans="1:35" ht="70.2" customHeight="1">
      <c r="A69" s="5" t="s">
        <v>169</v>
      </c>
      <c r="B69" s="5" t="s">
        <v>170</v>
      </c>
      <c r="C69" s="11">
        <v>2</v>
      </c>
      <c r="D69" s="4" t="s">
        <v>153</v>
      </c>
      <c r="E69" s="4" t="s">
        <v>427</v>
      </c>
      <c r="F69" s="4" t="s">
        <v>190</v>
      </c>
      <c r="G69" s="4" t="s">
        <v>184</v>
      </c>
      <c r="H69" s="5" t="s">
        <v>191</v>
      </c>
      <c r="I69" s="5" t="s">
        <v>49</v>
      </c>
      <c r="J69" s="4" t="s">
        <v>364</v>
      </c>
      <c r="K69" s="132" t="s">
        <v>194</v>
      </c>
      <c r="L69" s="5" t="s">
        <v>32</v>
      </c>
      <c r="M69" s="5" t="s">
        <v>158</v>
      </c>
      <c r="N69" s="6" t="s">
        <v>40</v>
      </c>
      <c r="O69" s="19" t="s">
        <v>35</v>
      </c>
      <c r="P69" s="7">
        <v>1</v>
      </c>
      <c r="Q69" s="8">
        <v>3108.5</v>
      </c>
      <c r="R69" s="8">
        <f t="shared" ref="R69" si="30">P69*Q69</f>
        <v>3108.5</v>
      </c>
      <c r="S69" s="7">
        <v>1</v>
      </c>
      <c r="T69" s="8">
        <v>0</v>
      </c>
      <c r="U69" s="8">
        <f t="shared" si="28"/>
        <v>0</v>
      </c>
      <c r="V69" s="7">
        <v>1</v>
      </c>
      <c r="W69" s="8">
        <v>3108.5</v>
      </c>
      <c r="X69" s="8">
        <f t="shared" si="29"/>
        <v>3108.5</v>
      </c>
      <c r="Y69" s="7"/>
      <c r="Z69" s="8"/>
      <c r="AA69" s="8">
        <f t="shared" si="1"/>
        <v>0</v>
      </c>
      <c r="AB69" s="7"/>
      <c r="AC69" s="8"/>
      <c r="AD69" s="8">
        <f t="shared" si="2"/>
        <v>0</v>
      </c>
      <c r="AE69" s="9">
        <f t="shared" si="0"/>
        <v>6217</v>
      </c>
      <c r="AF69" s="19" t="s">
        <v>34</v>
      </c>
      <c r="AG69" s="20" t="s">
        <v>195</v>
      </c>
      <c r="AH69" s="8">
        <f t="shared" si="7"/>
        <v>6217</v>
      </c>
      <c r="AI69" s="130">
        <f>AE69</f>
        <v>6217</v>
      </c>
    </row>
    <row r="70" spans="1:35" ht="70.2" customHeight="1">
      <c r="A70" s="5" t="s">
        <v>169</v>
      </c>
      <c r="B70" s="5" t="s">
        <v>170</v>
      </c>
      <c r="C70" s="5">
        <v>7</v>
      </c>
      <c r="D70" s="4" t="s">
        <v>196</v>
      </c>
      <c r="E70" s="4" t="s">
        <v>427</v>
      </c>
      <c r="F70" s="4" t="s">
        <v>46</v>
      </c>
      <c r="G70" s="4" t="s">
        <v>197</v>
      </c>
      <c r="H70" s="4" t="s">
        <v>87</v>
      </c>
      <c r="I70" s="4" t="s">
        <v>49</v>
      </c>
      <c r="J70" s="4" t="s">
        <v>364</v>
      </c>
      <c r="K70" s="132" t="s">
        <v>198</v>
      </c>
      <c r="L70" s="5" t="s">
        <v>199</v>
      </c>
      <c r="M70" s="5" t="s">
        <v>200</v>
      </c>
      <c r="N70" s="6" t="s">
        <v>40</v>
      </c>
      <c r="O70" s="19" t="s">
        <v>35</v>
      </c>
      <c r="P70" s="7">
        <v>1</v>
      </c>
      <c r="Q70" s="8">
        <v>0</v>
      </c>
      <c r="R70" s="86">
        <f>(R46+R44+R23+R15+R12+R7+R4+R9)*0.13</f>
        <v>8629.4</v>
      </c>
      <c r="S70" s="7">
        <v>1</v>
      </c>
      <c r="T70" s="8">
        <v>0</v>
      </c>
      <c r="U70" s="86">
        <f>(U46+U44+U23+U15+U12+U7+U4+U9)*0.13</f>
        <v>5376.8</v>
      </c>
      <c r="V70" s="7">
        <v>1</v>
      </c>
      <c r="W70" s="8">
        <v>0</v>
      </c>
      <c r="X70" s="86">
        <f>(X46+X44+X23+X15+X12+X7+X4+X9)*0.13</f>
        <v>5376.8</v>
      </c>
      <c r="Y70" s="7">
        <v>1</v>
      </c>
      <c r="Z70" s="8">
        <f>(AA4+AA7+AA9+AA10+AA12+AA13+AA15+AA18+AA44+AA46+AA49+AA51+AA53+AA64)*0.15</f>
        <v>0</v>
      </c>
      <c r="AA70" s="8">
        <f t="shared" si="1"/>
        <v>0</v>
      </c>
      <c r="AB70" s="7">
        <v>1</v>
      </c>
      <c r="AC70" s="8">
        <f>(AD4+AD7+AD9+AD10+AD12+AD13+AD15+AD18+AD44+AD46+AD49+AD51+AD53+AD64)*0.15</f>
        <v>0</v>
      </c>
      <c r="AD70" s="8">
        <f t="shared" si="2"/>
        <v>0</v>
      </c>
      <c r="AE70" s="9">
        <f t="shared" si="0"/>
        <v>19383</v>
      </c>
      <c r="AF70" s="19" t="s">
        <v>41</v>
      </c>
      <c r="AG70" s="20" t="s">
        <v>201</v>
      </c>
      <c r="AH70" s="8">
        <f t="shared" si="7"/>
        <v>19383</v>
      </c>
      <c r="AI70" s="1"/>
    </row>
    <row r="71" spans="1:35" ht="70.2" customHeight="1">
      <c r="A71" s="5" t="s">
        <v>169</v>
      </c>
      <c r="B71" s="5" t="s">
        <v>170</v>
      </c>
      <c r="C71" s="5">
        <v>7</v>
      </c>
      <c r="D71" s="3" t="s">
        <v>196</v>
      </c>
      <c r="E71" s="4" t="s">
        <v>427</v>
      </c>
      <c r="F71" s="3" t="s">
        <v>202</v>
      </c>
      <c r="G71" s="4" t="s">
        <v>197</v>
      </c>
      <c r="H71" s="4" t="s">
        <v>87</v>
      </c>
      <c r="I71" s="112" t="s">
        <v>203</v>
      </c>
      <c r="J71" s="4" t="s">
        <v>364</v>
      </c>
      <c r="K71" s="132" t="s">
        <v>204</v>
      </c>
      <c r="L71" s="5" t="s">
        <v>199</v>
      </c>
      <c r="M71" s="5" t="s">
        <v>200</v>
      </c>
      <c r="N71" s="6" t="s">
        <v>40</v>
      </c>
      <c r="O71" s="19" t="s">
        <v>35</v>
      </c>
      <c r="P71" s="7">
        <v>1</v>
      </c>
      <c r="Q71" s="8">
        <v>0</v>
      </c>
      <c r="R71" s="86">
        <f>(R39+R33+R31+R36+R26+R24+R20+R84)*0.13</f>
        <v>60793.899400000002</v>
      </c>
      <c r="S71" s="7">
        <v>1</v>
      </c>
      <c r="T71" s="8">
        <v>0</v>
      </c>
      <c r="U71" s="86">
        <f>(U39+U33+U31+U36+U26+U24+U20+U84)*0.13</f>
        <v>100692.64920000001</v>
      </c>
      <c r="V71" s="7">
        <v>1</v>
      </c>
      <c r="W71" s="8">
        <v>0</v>
      </c>
      <c r="X71" s="86">
        <f>(X39+X33+X31+X36+X26+X24+X20+X84)*0.13</f>
        <v>45276.688600000001</v>
      </c>
      <c r="Y71" s="7">
        <v>1</v>
      </c>
      <c r="Z71" s="8">
        <v>0</v>
      </c>
      <c r="AA71" s="8">
        <f t="shared" si="1"/>
        <v>0</v>
      </c>
      <c r="AB71" s="7">
        <v>1</v>
      </c>
      <c r="AC71" s="8">
        <v>0</v>
      </c>
      <c r="AD71" s="8">
        <v>0</v>
      </c>
      <c r="AE71" s="9">
        <f t="shared" si="0"/>
        <v>206763.2372</v>
      </c>
      <c r="AF71" s="19" t="s">
        <v>53</v>
      </c>
      <c r="AG71" s="20" t="s">
        <v>205</v>
      </c>
      <c r="AH71" s="8">
        <f t="shared" si="7"/>
        <v>206763.2372</v>
      </c>
      <c r="AI71" s="1"/>
    </row>
    <row r="72" spans="1:35" ht="70.2" customHeight="1">
      <c r="A72" s="5" t="s">
        <v>169</v>
      </c>
      <c r="B72" s="5" t="s">
        <v>170</v>
      </c>
      <c r="C72" s="5">
        <v>7</v>
      </c>
      <c r="D72" s="4" t="s">
        <v>196</v>
      </c>
      <c r="E72" s="4" t="s">
        <v>427</v>
      </c>
      <c r="F72" s="4" t="s">
        <v>46</v>
      </c>
      <c r="G72" s="4" t="s">
        <v>197</v>
      </c>
      <c r="H72" s="4" t="s">
        <v>87</v>
      </c>
      <c r="I72" s="4" t="s">
        <v>49</v>
      </c>
      <c r="J72" s="4" t="s">
        <v>364</v>
      </c>
      <c r="K72" s="4" t="s">
        <v>198</v>
      </c>
      <c r="L72" s="5" t="s">
        <v>199</v>
      </c>
      <c r="M72" s="5" t="s">
        <v>200</v>
      </c>
      <c r="N72" s="6" t="s">
        <v>52</v>
      </c>
      <c r="O72" s="19" t="s">
        <v>35</v>
      </c>
      <c r="P72" s="7">
        <v>1</v>
      </c>
      <c r="Q72" s="8">
        <v>0</v>
      </c>
      <c r="R72" s="86">
        <f>+(R16+R56+R63+R66+R100+R18+R10)*0.13</f>
        <v>40041.950000000004</v>
      </c>
      <c r="S72" s="7">
        <v>1</v>
      </c>
      <c r="T72" s="8">
        <v>0</v>
      </c>
      <c r="U72" s="86">
        <f>+(U16+U56+U63+U66+U100+U18+U10+U6)*0.13</f>
        <v>27886.95</v>
      </c>
      <c r="V72" s="7">
        <v>1</v>
      </c>
      <c r="W72" s="8">
        <v>0</v>
      </c>
      <c r="X72" s="86">
        <f>+(X16+X56+X63+X66+X100+X18+X10+X6)*0.13</f>
        <v>30187.3</v>
      </c>
      <c r="Y72" s="7"/>
      <c r="Z72" s="8">
        <f>(AA6+AA9+AA11+AA12+AA14+AA15+AA17+AA20+AA46+AA48+AA51+AA53+AA55+AA66)*0.15</f>
        <v>10407.449999999999</v>
      </c>
      <c r="AA72" s="8">
        <f t="shared" ref="AA72:AA73" si="31">+Y72*Z72</f>
        <v>0</v>
      </c>
      <c r="AB72" s="7"/>
      <c r="AC72" s="8">
        <f>(AD6+AD9+AD11+AD12+AD14+AD15+AD17+AD20+AD46+AD48+AD51+AD53+AD55+AD66)*0.15</f>
        <v>12018</v>
      </c>
      <c r="AD72" s="8">
        <f t="shared" ref="AD72" si="32">+AB72*AC72</f>
        <v>0</v>
      </c>
      <c r="AE72" s="9">
        <f>+R72+U72+X72+AA72+AD72</f>
        <v>98116.200000000012</v>
      </c>
      <c r="AF72" s="19" t="s">
        <v>41</v>
      </c>
      <c r="AG72" s="20" t="s">
        <v>201</v>
      </c>
      <c r="AH72" s="8">
        <f t="shared" ref="AH72:AH73" si="33">+R72+U72+X72</f>
        <v>98116.200000000012</v>
      </c>
      <c r="AI72" s="1"/>
    </row>
    <row r="73" spans="1:35" ht="70.2" customHeight="1">
      <c r="A73" s="5" t="s">
        <v>169</v>
      </c>
      <c r="B73" s="5" t="s">
        <v>170</v>
      </c>
      <c r="C73" s="5">
        <v>7</v>
      </c>
      <c r="D73" s="3" t="s">
        <v>196</v>
      </c>
      <c r="E73" s="4" t="s">
        <v>427</v>
      </c>
      <c r="F73" s="3" t="s">
        <v>202</v>
      </c>
      <c r="G73" s="4" t="s">
        <v>197</v>
      </c>
      <c r="H73" s="4" t="s">
        <v>87</v>
      </c>
      <c r="I73" s="112" t="s">
        <v>203</v>
      </c>
      <c r="J73" s="4" t="s">
        <v>364</v>
      </c>
      <c r="K73" s="4" t="s">
        <v>204</v>
      </c>
      <c r="L73" s="5" t="s">
        <v>199</v>
      </c>
      <c r="M73" s="5" t="s">
        <v>200</v>
      </c>
      <c r="N73" s="140" t="s">
        <v>52</v>
      </c>
      <c r="O73" s="141" t="s">
        <v>35</v>
      </c>
      <c r="P73" s="142">
        <v>1</v>
      </c>
      <c r="Q73" s="84">
        <v>0</v>
      </c>
      <c r="R73" s="84">
        <f>(R6*0.13)</f>
        <v>19279</v>
      </c>
      <c r="S73" s="142">
        <v>1</v>
      </c>
      <c r="T73" s="84">
        <v>0</v>
      </c>
      <c r="U73" s="84"/>
      <c r="V73" s="142">
        <v>1</v>
      </c>
      <c r="W73" s="84">
        <v>0</v>
      </c>
      <c r="X73" s="84">
        <v>0</v>
      </c>
      <c r="Y73" s="142">
        <v>0</v>
      </c>
      <c r="Z73" s="84">
        <v>0</v>
      </c>
      <c r="AA73" s="84">
        <f t="shared" si="31"/>
        <v>0</v>
      </c>
      <c r="AB73" s="142">
        <v>0</v>
      </c>
      <c r="AC73" s="84">
        <v>0</v>
      </c>
      <c r="AD73" s="84">
        <v>0</v>
      </c>
      <c r="AE73" s="143">
        <f t="shared" ref="AE73" si="34">+R73+U73+X73+AA73+AD73</f>
        <v>19279</v>
      </c>
      <c r="AF73" s="141" t="s">
        <v>53</v>
      </c>
      <c r="AG73" s="144" t="s">
        <v>205</v>
      </c>
      <c r="AH73" s="8">
        <f t="shared" si="33"/>
        <v>19279</v>
      </c>
      <c r="AI73" s="1"/>
    </row>
    <row r="74" spans="1:35" ht="70.2" customHeight="1">
      <c r="A74" s="5" t="s">
        <v>169</v>
      </c>
      <c r="B74" s="5" t="s">
        <v>170</v>
      </c>
      <c r="C74" s="11">
        <v>11</v>
      </c>
      <c r="D74" s="4" t="s">
        <v>153</v>
      </c>
      <c r="E74" s="4" t="s">
        <v>427</v>
      </c>
      <c r="F74" s="4" t="s">
        <v>206</v>
      </c>
      <c r="G74" s="4" t="s">
        <v>207</v>
      </c>
      <c r="H74" s="5" t="s">
        <v>87</v>
      </c>
      <c r="I74" s="111" t="s">
        <v>82</v>
      </c>
      <c r="J74" s="4" t="s">
        <v>364</v>
      </c>
      <c r="K74" s="132" t="s">
        <v>208</v>
      </c>
      <c r="L74" s="5" t="s">
        <v>32</v>
      </c>
      <c r="M74" s="5" t="s">
        <v>158</v>
      </c>
      <c r="N74" s="6" t="s">
        <v>40</v>
      </c>
      <c r="O74" s="19" t="s">
        <v>35</v>
      </c>
      <c r="P74" s="7">
        <v>12</v>
      </c>
      <c r="Q74" s="8">
        <f>(1904.28/12)+0.252</f>
        <v>158.94200000000001</v>
      </c>
      <c r="R74" s="8">
        <f>P74*Q74</f>
        <v>1907.3040000000001</v>
      </c>
      <c r="S74" s="7">
        <v>12</v>
      </c>
      <c r="T74" s="8">
        <f>(1904.28/12)+0.2512</f>
        <v>158.94120000000001</v>
      </c>
      <c r="U74" s="8">
        <f>+S74*T74</f>
        <v>1907.2944000000002</v>
      </c>
      <c r="V74" s="7">
        <v>12</v>
      </c>
      <c r="W74" s="8">
        <f>(1904.28/12)+0.2512</f>
        <v>158.94120000000001</v>
      </c>
      <c r="X74" s="8">
        <f>+V74*W74</f>
        <v>1907.2944000000002</v>
      </c>
      <c r="Y74" s="7"/>
      <c r="Z74" s="8"/>
      <c r="AA74" s="8">
        <f t="shared" si="1"/>
        <v>0</v>
      </c>
      <c r="AB74" s="7"/>
      <c r="AC74" s="8"/>
      <c r="AD74" s="8">
        <f t="shared" si="2"/>
        <v>0</v>
      </c>
      <c r="AE74" s="9">
        <f t="shared" si="0"/>
        <v>5721.8928000000005</v>
      </c>
      <c r="AF74" s="19" t="s">
        <v>34</v>
      </c>
      <c r="AG74" s="20" t="s">
        <v>209</v>
      </c>
      <c r="AH74" s="8">
        <f t="shared" si="7"/>
        <v>5721.8928000000005</v>
      </c>
      <c r="AI74" s="1"/>
    </row>
    <row r="75" spans="1:35" ht="70.2" customHeight="1">
      <c r="A75" s="5" t="s">
        <v>169</v>
      </c>
      <c r="B75" s="5" t="s">
        <v>170</v>
      </c>
      <c r="C75" s="5">
        <v>3</v>
      </c>
      <c r="D75" s="5" t="s">
        <v>54</v>
      </c>
      <c r="E75" s="164" t="s">
        <v>411</v>
      </c>
      <c r="F75" s="4" t="s">
        <v>286</v>
      </c>
      <c r="G75" s="4" t="s">
        <v>102</v>
      </c>
      <c r="H75" s="5" t="s">
        <v>103</v>
      </c>
      <c r="I75" s="5" t="s">
        <v>210</v>
      </c>
      <c r="J75" s="4" t="s">
        <v>364</v>
      </c>
      <c r="K75" s="132" t="s">
        <v>211</v>
      </c>
      <c r="L75" s="5" t="s">
        <v>134</v>
      </c>
      <c r="M75" s="5" t="s">
        <v>100</v>
      </c>
      <c r="N75" s="6" t="s">
        <v>40</v>
      </c>
      <c r="O75" s="19" t="s">
        <v>35</v>
      </c>
      <c r="P75" s="7" t="s">
        <v>167</v>
      </c>
      <c r="Q75" s="8">
        <v>25000</v>
      </c>
      <c r="R75" s="8">
        <f>P75*Q75</f>
        <v>25000</v>
      </c>
      <c r="S75" s="7" t="s">
        <v>167</v>
      </c>
      <c r="T75" s="8">
        <v>25000</v>
      </c>
      <c r="U75" s="8">
        <f>+S75*T75</f>
        <v>25000</v>
      </c>
      <c r="V75" s="7" t="s">
        <v>167</v>
      </c>
      <c r="W75" s="8">
        <v>25000</v>
      </c>
      <c r="X75" s="8">
        <f t="shared" si="6"/>
        <v>25000</v>
      </c>
      <c r="Y75" s="7"/>
      <c r="Z75" s="8"/>
      <c r="AA75" s="8">
        <f t="shared" si="1"/>
        <v>0</v>
      </c>
      <c r="AB75" s="7"/>
      <c r="AC75" s="8"/>
      <c r="AD75" s="8">
        <f t="shared" si="2"/>
        <v>0</v>
      </c>
      <c r="AE75" s="9">
        <f t="shared" ref="AE75" si="35">+R75+U75+X75+AA75+AD75</f>
        <v>75000</v>
      </c>
      <c r="AF75" s="19" t="s">
        <v>53</v>
      </c>
      <c r="AG75" s="20" t="s">
        <v>212</v>
      </c>
      <c r="AH75" s="8">
        <f t="shared" si="7"/>
        <v>75000</v>
      </c>
      <c r="AI75" s="1"/>
    </row>
    <row r="76" spans="1:35" ht="70.2" customHeight="1">
      <c r="A76" s="5" t="s">
        <v>144</v>
      </c>
      <c r="B76" s="5" t="s">
        <v>145</v>
      </c>
      <c r="C76" s="5">
        <v>2</v>
      </c>
      <c r="D76" s="4" t="s">
        <v>70</v>
      </c>
      <c r="E76" s="164" t="s">
        <v>423</v>
      </c>
      <c r="F76" s="4" t="s">
        <v>213</v>
      </c>
      <c r="G76" s="4" t="s">
        <v>214</v>
      </c>
      <c r="H76" s="5" t="s">
        <v>215</v>
      </c>
      <c r="I76" s="5" t="s">
        <v>215</v>
      </c>
      <c r="J76" s="4" t="s">
        <v>364</v>
      </c>
      <c r="K76" s="4" t="s">
        <v>282</v>
      </c>
      <c r="L76" s="5" t="s">
        <v>181</v>
      </c>
      <c r="M76" s="5" t="s">
        <v>216</v>
      </c>
      <c r="N76" s="6" t="s">
        <v>217</v>
      </c>
      <c r="O76" s="5" t="s">
        <v>218</v>
      </c>
      <c r="P76" s="7">
        <v>8</v>
      </c>
      <c r="Q76" s="25">
        <v>1568.64</v>
      </c>
      <c r="R76" s="8">
        <f>P76*Q76</f>
        <v>12549.12</v>
      </c>
      <c r="S76" s="7">
        <v>8</v>
      </c>
      <c r="T76" s="25">
        <v>1568.64</v>
      </c>
      <c r="U76" s="8">
        <f>+S76*T76</f>
        <v>12549.12</v>
      </c>
      <c r="V76" s="7">
        <v>8</v>
      </c>
      <c r="W76" s="25">
        <v>1568.64</v>
      </c>
      <c r="X76" s="8">
        <f>+V76*W76</f>
        <v>12549.12</v>
      </c>
      <c r="Y76" s="7">
        <v>8</v>
      </c>
      <c r="Z76" s="25">
        <v>1568.64</v>
      </c>
      <c r="AA76" s="8">
        <f>+Y76*Z76</f>
        <v>12549.12</v>
      </c>
      <c r="AB76" s="7">
        <v>8</v>
      </c>
      <c r="AC76" s="25">
        <v>1568.64</v>
      </c>
      <c r="AD76" s="8">
        <f>+AB76*AC76</f>
        <v>12549.12</v>
      </c>
      <c r="AE76" s="9">
        <f>+R76+U76+X76+AA76+AD76</f>
        <v>62745.600000000006</v>
      </c>
      <c r="AF76" s="26" t="s">
        <v>219</v>
      </c>
      <c r="AG76" s="3" t="s">
        <v>220</v>
      </c>
      <c r="AH76" s="8">
        <f t="shared" si="7"/>
        <v>37647.360000000001</v>
      </c>
      <c r="AI76" s="27"/>
    </row>
    <row r="77" spans="1:35" ht="70.2" customHeight="1">
      <c r="A77" s="5" t="s">
        <v>44</v>
      </c>
      <c r="B77" s="5" t="s">
        <v>221</v>
      </c>
      <c r="C77" s="11">
        <v>1</v>
      </c>
      <c r="D77" s="2" t="s">
        <v>26</v>
      </c>
      <c r="E77" s="161" t="s">
        <v>414</v>
      </c>
      <c r="F77" s="4" t="s">
        <v>222</v>
      </c>
      <c r="G77" s="4" t="s">
        <v>223</v>
      </c>
      <c r="H77" s="4" t="s">
        <v>87</v>
      </c>
      <c r="I77" s="4" t="s">
        <v>82</v>
      </c>
      <c r="J77" s="4" t="s">
        <v>364</v>
      </c>
      <c r="K77" s="4" t="s">
        <v>224</v>
      </c>
      <c r="L77" s="5" t="s">
        <v>32</v>
      </c>
      <c r="M77" s="5" t="s">
        <v>225</v>
      </c>
      <c r="N77" s="6" t="s">
        <v>226</v>
      </c>
      <c r="O77" s="28" t="s">
        <v>227</v>
      </c>
      <c r="P77" s="29">
        <v>1</v>
      </c>
      <c r="Q77" s="30">
        <v>338122.02</v>
      </c>
      <c r="R77" s="8">
        <f t="shared" ref="R77:R103" si="36">P77*Q77</f>
        <v>338122.02</v>
      </c>
      <c r="S77" s="31">
        <v>1</v>
      </c>
      <c r="T77" s="30">
        <v>338122.02</v>
      </c>
      <c r="U77" s="8">
        <f t="shared" ref="U77:U103" si="37">+S77*T77</f>
        <v>338122.02</v>
      </c>
      <c r="V77" s="31">
        <v>1</v>
      </c>
      <c r="W77" s="30">
        <v>338122.02</v>
      </c>
      <c r="X77" s="8">
        <f t="shared" ref="X77:X103" si="38">+V77*W77</f>
        <v>338122.02</v>
      </c>
      <c r="Y77" s="31">
        <v>1</v>
      </c>
      <c r="Z77" s="30">
        <v>355028.12</v>
      </c>
      <c r="AA77" s="8">
        <f t="shared" ref="AA77:AA103" si="39">+Y77*Z77</f>
        <v>355028.12</v>
      </c>
      <c r="AB77" s="31">
        <v>1</v>
      </c>
      <c r="AC77" s="32">
        <v>372779.52000000002</v>
      </c>
      <c r="AD77" s="8">
        <f t="shared" ref="AD77:AD103" si="40">+AB77*AC77</f>
        <v>372779.52000000002</v>
      </c>
      <c r="AE77" s="9">
        <f>+R77+U77+X77+AA77+AD77</f>
        <v>1742173.7000000002</v>
      </c>
      <c r="AF77" s="33" t="s">
        <v>226</v>
      </c>
      <c r="AG77" s="34" t="s">
        <v>228</v>
      </c>
      <c r="AH77" s="8">
        <f t="shared" si="7"/>
        <v>1014366.06</v>
      </c>
      <c r="AI77" s="1"/>
    </row>
    <row r="78" spans="1:35" ht="70.2" customHeight="1">
      <c r="A78" s="5" t="s">
        <v>44</v>
      </c>
      <c r="B78" s="5" t="s">
        <v>221</v>
      </c>
      <c r="C78" s="5">
        <v>1</v>
      </c>
      <c r="D78" s="5" t="s">
        <v>54</v>
      </c>
      <c r="E78" s="161" t="s">
        <v>414</v>
      </c>
      <c r="F78" s="4" t="s">
        <v>283</v>
      </c>
      <c r="G78" s="4" t="s">
        <v>230</v>
      </c>
      <c r="H78" s="4" t="s">
        <v>231</v>
      </c>
      <c r="I78" s="4" t="s">
        <v>203</v>
      </c>
      <c r="J78" s="4" t="s">
        <v>364</v>
      </c>
      <c r="K78" s="4" t="s">
        <v>232</v>
      </c>
      <c r="L78" s="5" t="s">
        <v>32</v>
      </c>
      <c r="M78" s="5" t="s">
        <v>33</v>
      </c>
      <c r="N78" s="6" t="s">
        <v>34</v>
      </c>
      <c r="O78" s="18" t="s">
        <v>35</v>
      </c>
      <c r="P78" s="29">
        <v>1</v>
      </c>
      <c r="Q78" s="8">
        <f>3397181+2193061*1.05</f>
        <v>5699895.0500000007</v>
      </c>
      <c r="R78" s="8">
        <f t="shared" si="36"/>
        <v>5699895.0500000007</v>
      </c>
      <c r="S78" s="29">
        <v>1</v>
      </c>
      <c r="T78" s="81">
        <f>R78*1.05</f>
        <v>5984889.8025000012</v>
      </c>
      <c r="U78" s="8">
        <f t="shared" si="37"/>
        <v>5984889.8025000012</v>
      </c>
      <c r="V78" s="29">
        <v>1</v>
      </c>
      <c r="W78" s="81">
        <f>T78*1.05</f>
        <v>6284134.2926250016</v>
      </c>
      <c r="X78" s="8">
        <f t="shared" si="38"/>
        <v>6284134.2926250016</v>
      </c>
      <c r="Y78" s="31">
        <v>1</v>
      </c>
      <c r="Z78" s="81">
        <f>X78*1.05</f>
        <v>6598341.0072562518</v>
      </c>
      <c r="AA78" s="8">
        <f t="shared" si="39"/>
        <v>6598341.0072562518</v>
      </c>
      <c r="AB78" s="31">
        <v>1</v>
      </c>
      <c r="AC78" s="81">
        <f>AA78*1.05</f>
        <v>6928258.057619065</v>
      </c>
      <c r="AD78" s="8">
        <f t="shared" si="40"/>
        <v>6928258.057619065</v>
      </c>
      <c r="AE78" s="9">
        <f t="shared" ref="AE78:AE103" si="41">+R78+U78+X78+AA78+AD78</f>
        <v>31495518.210000321</v>
      </c>
      <c r="AF78" s="33" t="s">
        <v>34</v>
      </c>
      <c r="AG78" s="34" t="s">
        <v>233</v>
      </c>
      <c r="AH78" s="8">
        <f t="shared" si="7"/>
        <v>17968919.145125005</v>
      </c>
      <c r="AI78" s="1"/>
    </row>
    <row r="79" spans="1:35" ht="70.2" customHeight="1">
      <c r="A79" s="5" t="s">
        <v>44</v>
      </c>
      <c r="B79" s="5" t="s">
        <v>221</v>
      </c>
      <c r="C79" s="5">
        <v>4</v>
      </c>
      <c r="D79" s="5" t="s">
        <v>54</v>
      </c>
      <c r="E79" s="161" t="s">
        <v>417</v>
      </c>
      <c r="F79" s="4" t="s">
        <v>283</v>
      </c>
      <c r="G79" s="4" t="s">
        <v>239</v>
      </c>
      <c r="H79" s="4" t="s">
        <v>231</v>
      </c>
      <c r="I79" s="4" t="s">
        <v>203</v>
      </c>
      <c r="J79" s="4" t="s">
        <v>364</v>
      </c>
      <c r="K79" s="4" t="s">
        <v>234</v>
      </c>
      <c r="L79" s="5" t="s">
        <v>32</v>
      </c>
      <c r="M79" s="5" t="s">
        <v>33</v>
      </c>
      <c r="N79" s="6" t="s">
        <v>34</v>
      </c>
      <c r="O79" s="18" t="s">
        <v>35</v>
      </c>
      <c r="P79" s="29">
        <v>1</v>
      </c>
      <c r="Q79" s="8">
        <f>(3554885+27742+1000000)*1.02</f>
        <v>4674279.54</v>
      </c>
      <c r="R79" s="8">
        <f t="shared" si="36"/>
        <v>4674279.54</v>
      </c>
      <c r="S79" s="29">
        <v>1</v>
      </c>
      <c r="T79" s="81">
        <f>R79*1.02</f>
        <v>4767765.1308000004</v>
      </c>
      <c r="U79" s="8">
        <f t="shared" si="37"/>
        <v>4767765.1308000004</v>
      </c>
      <c r="V79" s="29">
        <v>1</v>
      </c>
      <c r="W79" s="81">
        <f>U79*1.02</f>
        <v>4863120.4334160006</v>
      </c>
      <c r="X79" s="8">
        <f t="shared" si="38"/>
        <v>4863120.4334160006</v>
      </c>
      <c r="Y79" s="31">
        <v>1</v>
      </c>
      <c r="Z79" s="81">
        <f>X79*1.02</f>
        <v>4960382.8420843203</v>
      </c>
      <c r="AA79" s="8">
        <f t="shared" si="39"/>
        <v>4960382.8420843203</v>
      </c>
      <c r="AB79" s="31">
        <v>1</v>
      </c>
      <c r="AC79" s="81">
        <f>AA79*1.02</f>
        <v>5059590.4989260072</v>
      </c>
      <c r="AD79" s="8">
        <f t="shared" si="40"/>
        <v>5059590.4989260072</v>
      </c>
      <c r="AE79" s="9">
        <f t="shared" si="41"/>
        <v>24325138.445226327</v>
      </c>
      <c r="AF79" s="33" t="s">
        <v>34</v>
      </c>
      <c r="AG79" s="34" t="s">
        <v>235</v>
      </c>
      <c r="AH79" s="8">
        <f t="shared" si="7"/>
        <v>14305165.104216002</v>
      </c>
      <c r="AI79" s="1"/>
    </row>
    <row r="80" spans="1:35" ht="70.2" customHeight="1">
      <c r="A80" s="5" t="s">
        <v>44</v>
      </c>
      <c r="B80" s="5" t="s">
        <v>45</v>
      </c>
      <c r="C80" s="5">
        <v>6</v>
      </c>
      <c r="D80" s="5" t="s">
        <v>54</v>
      </c>
      <c r="E80" s="158" t="s">
        <v>422</v>
      </c>
      <c r="F80" s="4" t="s">
        <v>222</v>
      </c>
      <c r="G80" s="158" t="s">
        <v>422</v>
      </c>
      <c r="H80" s="4" t="s">
        <v>87</v>
      </c>
      <c r="I80" s="102" t="s">
        <v>82</v>
      </c>
      <c r="J80" s="4" t="s">
        <v>368</v>
      </c>
      <c r="K80" s="4" t="s">
        <v>313</v>
      </c>
      <c r="L80" s="5" t="s">
        <v>66</v>
      </c>
      <c r="M80" s="5" t="s">
        <v>33</v>
      </c>
      <c r="N80" s="6" t="s">
        <v>34</v>
      </c>
      <c r="O80" s="18" t="s">
        <v>35</v>
      </c>
      <c r="P80" s="29">
        <v>1</v>
      </c>
      <c r="Q80" s="113">
        <v>25875</v>
      </c>
      <c r="R80" s="8">
        <f t="shared" si="36"/>
        <v>25875</v>
      </c>
      <c r="S80" s="29">
        <v>1</v>
      </c>
      <c r="T80" s="113">
        <f t="shared" ref="T80" si="42">Q80*1.02</f>
        <v>26392.5</v>
      </c>
      <c r="U80" s="8">
        <f t="shared" si="37"/>
        <v>26392.5</v>
      </c>
      <c r="V80" s="29">
        <v>1</v>
      </c>
      <c r="W80" s="113">
        <f t="shared" ref="W80" si="43">T80*1.02</f>
        <v>26920.350000000002</v>
      </c>
      <c r="X80" s="8">
        <f t="shared" si="38"/>
        <v>26920.350000000002</v>
      </c>
      <c r="Y80" s="31">
        <v>1</v>
      </c>
      <c r="Z80" s="113">
        <f t="shared" ref="Z80" si="44">W80*1.02</f>
        <v>27458.757000000001</v>
      </c>
      <c r="AA80" s="8">
        <f t="shared" si="39"/>
        <v>27458.757000000001</v>
      </c>
      <c r="AB80" s="31">
        <v>1</v>
      </c>
      <c r="AC80" s="113">
        <f t="shared" ref="AC80" si="45">Z80*1.02</f>
        <v>28007.932140000001</v>
      </c>
      <c r="AD80" s="8">
        <f t="shared" si="40"/>
        <v>28007.932140000001</v>
      </c>
      <c r="AE80" s="9">
        <f t="shared" si="41"/>
        <v>134654.53914000001</v>
      </c>
      <c r="AF80" s="85" t="s">
        <v>53</v>
      </c>
      <c r="AG80" s="34" t="s">
        <v>319</v>
      </c>
      <c r="AH80" s="8">
        <f t="shared" si="7"/>
        <v>79187.850000000006</v>
      </c>
      <c r="AI80" s="1"/>
    </row>
    <row r="81" spans="1:35" ht="70.2" customHeight="1">
      <c r="A81" s="5" t="s">
        <v>24</v>
      </c>
      <c r="B81" s="5" t="s">
        <v>25</v>
      </c>
      <c r="C81" s="5">
        <v>4</v>
      </c>
      <c r="D81" s="2" t="s">
        <v>26</v>
      </c>
      <c r="E81" s="2" t="s">
        <v>410</v>
      </c>
      <c r="F81" s="4" t="s">
        <v>283</v>
      </c>
      <c r="G81" s="4" t="s">
        <v>434</v>
      </c>
      <c r="H81" s="174" t="s">
        <v>435</v>
      </c>
      <c r="I81" s="174" t="s">
        <v>435</v>
      </c>
      <c r="J81" s="4" t="s">
        <v>358</v>
      </c>
      <c r="K81" s="4" t="s">
        <v>380</v>
      </c>
      <c r="L81" s="5" t="s">
        <v>66</v>
      </c>
      <c r="M81" s="5" t="s">
        <v>33</v>
      </c>
      <c r="N81" s="6" t="s">
        <v>34</v>
      </c>
      <c r="O81" s="18" t="s">
        <v>35</v>
      </c>
      <c r="P81" s="29">
        <v>3319</v>
      </c>
      <c r="Q81" s="114">
        <v>35.904000000000003</v>
      </c>
      <c r="R81" s="8">
        <f t="shared" si="36"/>
        <v>119165.37600000002</v>
      </c>
      <c r="S81" s="29">
        <v>3405</v>
      </c>
      <c r="T81" s="115">
        <v>35.904000000000003</v>
      </c>
      <c r="U81" s="8">
        <f t="shared" si="37"/>
        <v>122253.12000000001</v>
      </c>
      <c r="V81" s="29">
        <v>3655</v>
      </c>
      <c r="W81" s="115">
        <v>39.6</v>
      </c>
      <c r="X81" s="8">
        <f t="shared" si="38"/>
        <v>144738</v>
      </c>
      <c r="Y81" s="31">
        <v>2420</v>
      </c>
      <c r="Z81" s="114">
        <v>39.6</v>
      </c>
      <c r="AA81" s="8">
        <f t="shared" si="39"/>
        <v>95832</v>
      </c>
      <c r="AB81" s="31">
        <v>1735</v>
      </c>
      <c r="AC81" s="114">
        <v>42.35</v>
      </c>
      <c r="AD81" s="8">
        <f t="shared" si="40"/>
        <v>73477.25</v>
      </c>
      <c r="AE81" s="9">
        <f t="shared" si="41"/>
        <v>555465.74600000004</v>
      </c>
      <c r="AF81" s="85" t="s">
        <v>53</v>
      </c>
      <c r="AG81" s="34" t="s">
        <v>320</v>
      </c>
      <c r="AH81" s="8">
        <f t="shared" si="7"/>
        <v>386156.49600000004</v>
      </c>
      <c r="AI81" s="1"/>
    </row>
    <row r="82" spans="1:35" ht="79.2">
      <c r="A82" s="5" t="s">
        <v>24</v>
      </c>
      <c r="B82" s="5" t="s">
        <v>25</v>
      </c>
      <c r="C82" s="5">
        <v>4</v>
      </c>
      <c r="D82" s="2" t="s">
        <v>26</v>
      </c>
      <c r="E82" s="2" t="s">
        <v>410</v>
      </c>
      <c r="F82" s="4" t="s">
        <v>283</v>
      </c>
      <c r="G82" s="4" t="s">
        <v>239</v>
      </c>
      <c r="H82" s="174" t="s">
        <v>437</v>
      </c>
      <c r="I82" s="174" t="s">
        <v>437</v>
      </c>
      <c r="J82" s="4" t="s">
        <v>370</v>
      </c>
      <c r="K82" s="4" t="s">
        <v>381</v>
      </c>
      <c r="L82" s="5" t="s">
        <v>66</v>
      </c>
      <c r="M82" s="5" t="s">
        <v>33</v>
      </c>
      <c r="N82" s="6" t="s">
        <v>34</v>
      </c>
      <c r="O82" s="18" t="s">
        <v>35</v>
      </c>
      <c r="P82" s="29">
        <v>1</v>
      </c>
      <c r="Q82" s="113">
        <v>37164.74</v>
      </c>
      <c r="R82" s="8">
        <f t="shared" si="36"/>
        <v>37164.74</v>
      </c>
      <c r="S82" s="29">
        <v>1</v>
      </c>
      <c r="T82" s="115">
        <v>37794.720000000001</v>
      </c>
      <c r="U82" s="8">
        <f t="shared" si="37"/>
        <v>37794.720000000001</v>
      </c>
      <c r="V82" s="29">
        <v>1</v>
      </c>
      <c r="W82" s="115">
        <v>39684.46</v>
      </c>
      <c r="X82" s="8">
        <f t="shared" si="38"/>
        <v>39684.46</v>
      </c>
      <c r="Y82" s="31">
        <v>1</v>
      </c>
      <c r="Z82" s="114">
        <v>30235.78</v>
      </c>
      <c r="AA82" s="8">
        <f t="shared" si="39"/>
        <v>30235.78</v>
      </c>
      <c r="AB82" s="31">
        <v>1</v>
      </c>
      <c r="AC82" s="114">
        <v>25196.48</v>
      </c>
      <c r="AD82" s="8">
        <f t="shared" si="40"/>
        <v>25196.48</v>
      </c>
      <c r="AE82" s="9">
        <f t="shared" si="41"/>
        <v>170076.18</v>
      </c>
      <c r="AF82" s="85" t="s">
        <v>53</v>
      </c>
      <c r="AG82" s="34" t="s">
        <v>321</v>
      </c>
      <c r="AH82" s="8">
        <f t="shared" si="7"/>
        <v>114643.91999999998</v>
      </c>
      <c r="AI82" s="1"/>
    </row>
    <row r="83" spans="1:35" ht="79.2">
      <c r="A83" s="5" t="s">
        <v>24</v>
      </c>
      <c r="B83" s="5" t="s">
        <v>61</v>
      </c>
      <c r="C83" s="5">
        <v>4</v>
      </c>
      <c r="D83" s="2" t="s">
        <v>26</v>
      </c>
      <c r="E83" s="2" t="s">
        <v>412</v>
      </c>
      <c r="F83" s="4" t="s">
        <v>283</v>
      </c>
      <c r="G83" s="4" t="s">
        <v>239</v>
      </c>
      <c r="H83" s="174" t="s">
        <v>437</v>
      </c>
      <c r="I83" s="174" t="s">
        <v>437</v>
      </c>
      <c r="J83" s="4" t="s">
        <v>369</v>
      </c>
      <c r="K83" s="4" t="s">
        <v>382</v>
      </c>
      <c r="L83" s="5" t="s">
        <v>66</v>
      </c>
      <c r="M83" s="5" t="s">
        <v>33</v>
      </c>
      <c r="N83" s="6" t="s">
        <v>34</v>
      </c>
      <c r="O83" s="18" t="s">
        <v>35</v>
      </c>
      <c r="P83" s="29">
        <f>59*0.2</f>
        <v>11.8</v>
      </c>
      <c r="Q83" s="113">
        <f>(46455.93*0.2)/P83</f>
        <v>787.38864406779658</v>
      </c>
      <c r="R83" s="8">
        <f t="shared" si="36"/>
        <v>9291.1859999999997</v>
      </c>
      <c r="S83" s="29">
        <f>60*0.2</f>
        <v>12</v>
      </c>
      <c r="T83" s="115">
        <v>787.39</v>
      </c>
      <c r="U83" s="8">
        <f t="shared" si="37"/>
        <v>9448.68</v>
      </c>
      <c r="V83" s="29">
        <f>63*0.2</f>
        <v>12.600000000000001</v>
      </c>
      <c r="W83" s="115">
        <v>787.39</v>
      </c>
      <c r="X83" s="8">
        <f t="shared" si="38"/>
        <v>9921.1140000000014</v>
      </c>
      <c r="Y83" s="31">
        <f>48*0.2</f>
        <v>9.6000000000000014</v>
      </c>
      <c r="Z83" s="114">
        <v>787.39</v>
      </c>
      <c r="AA83" s="8">
        <f t="shared" si="39"/>
        <v>7558.9440000000013</v>
      </c>
      <c r="AB83" s="31">
        <f>40*0.2</f>
        <v>8</v>
      </c>
      <c r="AC83" s="114">
        <v>787.39</v>
      </c>
      <c r="AD83" s="8">
        <f t="shared" si="40"/>
        <v>6299.12</v>
      </c>
      <c r="AE83" s="9">
        <f t="shared" si="41"/>
        <v>42519.044000000009</v>
      </c>
      <c r="AF83" s="85" t="s">
        <v>53</v>
      </c>
      <c r="AG83" s="34" t="s">
        <v>322</v>
      </c>
      <c r="AH83" s="8">
        <f t="shared" si="7"/>
        <v>28660.980000000003</v>
      </c>
      <c r="AI83" s="1"/>
    </row>
    <row r="84" spans="1:35" ht="70.2" customHeight="1">
      <c r="A84" s="5" t="s">
        <v>24</v>
      </c>
      <c r="B84" s="5" t="s">
        <v>25</v>
      </c>
      <c r="C84" s="5">
        <v>4</v>
      </c>
      <c r="D84" s="2" t="s">
        <v>26</v>
      </c>
      <c r="E84" s="2" t="s">
        <v>410</v>
      </c>
      <c r="F84" s="4" t="s">
        <v>336</v>
      </c>
      <c r="G84" s="173" t="s">
        <v>434</v>
      </c>
      <c r="H84" s="4" t="s">
        <v>439</v>
      </c>
      <c r="I84" s="4" t="s">
        <v>439</v>
      </c>
      <c r="J84" s="4" t="s">
        <v>353</v>
      </c>
      <c r="K84" s="4" t="s">
        <v>402</v>
      </c>
      <c r="L84" s="5" t="s">
        <v>66</v>
      </c>
      <c r="M84" s="5"/>
      <c r="N84" s="6" t="s">
        <v>40</v>
      </c>
      <c r="O84" s="11" t="s">
        <v>35</v>
      </c>
      <c r="P84" s="29">
        <v>0</v>
      </c>
      <c r="Q84" s="114"/>
      <c r="R84" s="84">
        <f t="shared" si="36"/>
        <v>0</v>
      </c>
      <c r="S84" s="29">
        <v>19729</v>
      </c>
      <c r="T84" s="115">
        <v>19.100000000000001</v>
      </c>
      <c r="U84" s="84">
        <f>+S84*T84</f>
        <v>376823.9</v>
      </c>
      <c r="V84" s="29">
        <v>0</v>
      </c>
      <c r="W84" s="115">
        <v>0</v>
      </c>
      <c r="X84" s="84">
        <f t="shared" si="38"/>
        <v>0</v>
      </c>
      <c r="Y84" s="31">
        <v>0</v>
      </c>
      <c r="Z84" s="114">
        <v>0</v>
      </c>
      <c r="AA84" s="84">
        <f t="shared" si="39"/>
        <v>0</v>
      </c>
      <c r="AB84" s="31">
        <v>0</v>
      </c>
      <c r="AC84" s="114">
        <v>0</v>
      </c>
      <c r="AD84" s="8">
        <v>0</v>
      </c>
      <c r="AE84" s="9">
        <f t="shared" si="41"/>
        <v>376823.9</v>
      </c>
      <c r="AF84" s="33" t="s">
        <v>53</v>
      </c>
      <c r="AG84" s="34" t="s">
        <v>323</v>
      </c>
      <c r="AH84" s="8">
        <f t="shared" si="7"/>
        <v>376823.9</v>
      </c>
      <c r="AI84" s="1"/>
    </row>
    <row r="85" spans="1:35" ht="70.2" customHeight="1">
      <c r="A85" s="5" t="s">
        <v>24</v>
      </c>
      <c r="B85" s="5" t="s">
        <v>25</v>
      </c>
      <c r="C85" s="5">
        <v>4</v>
      </c>
      <c r="D85" s="2" t="s">
        <v>26</v>
      </c>
      <c r="E85" s="2" t="s">
        <v>410</v>
      </c>
      <c r="F85" s="4" t="s">
        <v>336</v>
      </c>
      <c r="G85" s="173" t="s">
        <v>434</v>
      </c>
      <c r="H85" s="4" t="s">
        <v>439</v>
      </c>
      <c r="I85" s="4" t="s">
        <v>439</v>
      </c>
      <c r="J85" s="4" t="s">
        <v>353</v>
      </c>
      <c r="K85" s="4" t="s">
        <v>383</v>
      </c>
      <c r="L85" s="5" t="s">
        <v>66</v>
      </c>
      <c r="M85" s="5"/>
      <c r="N85" s="6" t="s">
        <v>43</v>
      </c>
      <c r="O85" s="18" t="s">
        <v>35</v>
      </c>
      <c r="P85" s="29">
        <v>0</v>
      </c>
      <c r="Q85" s="114"/>
      <c r="R85" s="84">
        <f t="shared" ref="R85:R90" si="46">P85*Q85</f>
        <v>0</v>
      </c>
      <c r="S85" s="133">
        <f>40000-S84</f>
        <v>20271</v>
      </c>
      <c r="T85" s="115">
        <v>19.100000000000001</v>
      </c>
      <c r="U85" s="84">
        <f>+S85*T85</f>
        <v>387176.10000000003</v>
      </c>
      <c r="V85" s="29">
        <v>0</v>
      </c>
      <c r="W85" s="115">
        <v>0</v>
      </c>
      <c r="X85" s="84">
        <f t="shared" ref="X85:X90" si="47">+V85*W85</f>
        <v>0</v>
      </c>
      <c r="Y85" s="31">
        <v>0</v>
      </c>
      <c r="Z85" s="114">
        <v>0</v>
      </c>
      <c r="AA85" s="8">
        <f>Y85*Z85</f>
        <v>0</v>
      </c>
      <c r="AB85" s="31">
        <v>0</v>
      </c>
      <c r="AC85" s="114">
        <v>0</v>
      </c>
      <c r="AD85" s="8">
        <v>0</v>
      </c>
      <c r="AE85" s="9">
        <f t="shared" si="41"/>
        <v>387176.10000000003</v>
      </c>
      <c r="AF85" s="33" t="s">
        <v>53</v>
      </c>
      <c r="AG85" s="34" t="s">
        <v>323</v>
      </c>
      <c r="AH85" s="8">
        <f t="shared" ref="AH85" si="48">+R85+U85+X85</f>
        <v>387176.10000000003</v>
      </c>
      <c r="AI85" s="1"/>
    </row>
    <row r="86" spans="1:35" ht="70.2" customHeight="1">
      <c r="A86" s="5" t="s">
        <v>89</v>
      </c>
      <c r="B86" s="5" t="s">
        <v>188</v>
      </c>
      <c r="C86" s="5">
        <v>4</v>
      </c>
      <c r="D86" s="2" t="s">
        <v>26</v>
      </c>
      <c r="E86" s="161" t="s">
        <v>416</v>
      </c>
      <c r="F86" s="4" t="s">
        <v>283</v>
      </c>
      <c r="G86" s="173" t="s">
        <v>434</v>
      </c>
      <c r="H86" s="5" t="s">
        <v>241</v>
      </c>
      <c r="I86" s="5" t="s">
        <v>241</v>
      </c>
      <c r="J86" s="4" t="s">
        <v>371</v>
      </c>
      <c r="K86" s="4" t="s">
        <v>384</v>
      </c>
      <c r="L86" s="5" t="s">
        <v>66</v>
      </c>
      <c r="M86" s="5" t="s">
        <v>33</v>
      </c>
      <c r="N86" s="6" t="s">
        <v>34</v>
      </c>
      <c r="O86" s="18" t="s">
        <v>35</v>
      </c>
      <c r="P86" s="18">
        <v>340</v>
      </c>
      <c r="Q86" s="114">
        <v>35.9</v>
      </c>
      <c r="R86" s="8">
        <f t="shared" si="46"/>
        <v>12206</v>
      </c>
      <c r="S86" s="29">
        <v>340</v>
      </c>
      <c r="T86" s="115">
        <v>35.9</v>
      </c>
      <c r="U86" s="8">
        <f t="shared" ref="U86:U90" si="49">+S86*T86</f>
        <v>12206</v>
      </c>
      <c r="V86" s="29">
        <v>340</v>
      </c>
      <c r="W86" s="115">
        <v>39.6</v>
      </c>
      <c r="X86" s="8">
        <f t="shared" si="47"/>
        <v>13464</v>
      </c>
      <c r="Y86" s="29">
        <v>340</v>
      </c>
      <c r="Z86" s="115">
        <v>39.6</v>
      </c>
      <c r="AA86" s="8">
        <f t="shared" ref="AA86:AA90" si="50">+Y86*Z86</f>
        <v>13464</v>
      </c>
      <c r="AB86" s="29">
        <v>340</v>
      </c>
      <c r="AC86" s="115">
        <v>39.6</v>
      </c>
      <c r="AD86" s="8">
        <f t="shared" ref="AD86:AD90" si="51">+AB86*AC86</f>
        <v>13464</v>
      </c>
      <c r="AE86" s="9">
        <f t="shared" si="41"/>
        <v>64804</v>
      </c>
      <c r="AF86" s="33" t="s">
        <v>53</v>
      </c>
      <c r="AG86" s="34" t="s">
        <v>324</v>
      </c>
      <c r="AH86" s="8">
        <f t="shared" si="7"/>
        <v>37876</v>
      </c>
      <c r="AI86" s="1"/>
    </row>
    <row r="87" spans="1:35" ht="70.2" customHeight="1">
      <c r="A87" s="5" t="s">
        <v>44</v>
      </c>
      <c r="B87" s="5" t="s">
        <v>221</v>
      </c>
      <c r="C87" s="5">
        <v>4</v>
      </c>
      <c r="D87" s="5" t="s">
        <v>54</v>
      </c>
      <c r="E87" s="2" t="s">
        <v>417</v>
      </c>
      <c r="F87" s="4" t="s">
        <v>283</v>
      </c>
      <c r="G87" s="4" t="s">
        <v>239</v>
      </c>
      <c r="H87" s="5" t="s">
        <v>241</v>
      </c>
      <c r="I87" s="5" t="s">
        <v>241</v>
      </c>
      <c r="J87" s="4" t="s">
        <v>349</v>
      </c>
      <c r="K87" s="4" t="s">
        <v>385</v>
      </c>
      <c r="L87" s="5" t="s">
        <v>66</v>
      </c>
      <c r="M87" s="5" t="s">
        <v>33</v>
      </c>
      <c r="N87" s="6" t="s">
        <v>34</v>
      </c>
      <c r="O87" s="18" t="s">
        <v>35</v>
      </c>
      <c r="P87" s="18">
        <v>1252</v>
      </c>
      <c r="Q87" s="114">
        <v>35.9</v>
      </c>
      <c r="R87" s="8">
        <f t="shared" si="46"/>
        <v>44946.799999999996</v>
      </c>
      <c r="S87" s="29">
        <v>1256</v>
      </c>
      <c r="T87" s="115">
        <v>35.9</v>
      </c>
      <c r="U87" s="8">
        <f t="shared" si="49"/>
        <v>45090.400000000001</v>
      </c>
      <c r="V87" s="29">
        <v>1261</v>
      </c>
      <c r="W87" s="115">
        <v>39.6</v>
      </c>
      <c r="X87" s="8">
        <f t="shared" si="47"/>
        <v>49935.6</v>
      </c>
      <c r="Y87" s="31">
        <f>1606-340</f>
        <v>1266</v>
      </c>
      <c r="Z87" s="115">
        <v>39.6</v>
      </c>
      <c r="AA87" s="8">
        <f t="shared" si="50"/>
        <v>50133.599999999999</v>
      </c>
      <c r="AB87" s="31">
        <f>1612-340</f>
        <v>1272</v>
      </c>
      <c r="AC87" s="115">
        <v>39.6</v>
      </c>
      <c r="AD87" s="8">
        <f t="shared" si="51"/>
        <v>50371.200000000004</v>
      </c>
      <c r="AE87" s="9">
        <f t="shared" si="41"/>
        <v>240477.6</v>
      </c>
      <c r="AF87" s="33" t="s">
        <v>53</v>
      </c>
      <c r="AG87" s="34" t="s">
        <v>325</v>
      </c>
      <c r="AH87" s="8"/>
      <c r="AI87" s="1"/>
    </row>
    <row r="88" spans="1:35" ht="70.2" customHeight="1">
      <c r="A88" s="5" t="s">
        <v>89</v>
      </c>
      <c r="B88" s="5" t="s">
        <v>188</v>
      </c>
      <c r="C88" s="5">
        <v>4</v>
      </c>
      <c r="D88" s="2" t="s">
        <v>26</v>
      </c>
      <c r="E88" s="2" t="s">
        <v>416</v>
      </c>
      <c r="F88" s="4" t="s">
        <v>339</v>
      </c>
      <c r="G88" s="173" t="s">
        <v>434</v>
      </c>
      <c r="H88" s="5" t="s">
        <v>436</v>
      </c>
      <c r="I88" s="5" t="s">
        <v>436</v>
      </c>
      <c r="J88" s="4" t="s">
        <v>355</v>
      </c>
      <c r="K88" s="4" t="s">
        <v>386</v>
      </c>
      <c r="L88" s="5" t="s">
        <v>66</v>
      </c>
      <c r="M88" s="5" t="s">
        <v>33</v>
      </c>
      <c r="N88" s="6" t="s">
        <v>34</v>
      </c>
      <c r="O88" s="18" t="s">
        <v>35</v>
      </c>
      <c r="P88" s="29">
        <v>2000</v>
      </c>
      <c r="Q88" s="114">
        <v>19.100000000000001</v>
      </c>
      <c r="R88" s="8">
        <f t="shared" si="46"/>
        <v>38200</v>
      </c>
      <c r="S88" s="29">
        <v>2000</v>
      </c>
      <c r="T88" s="115">
        <v>19.100000000000001</v>
      </c>
      <c r="U88" s="8">
        <f t="shared" si="49"/>
        <v>38200</v>
      </c>
      <c r="V88" s="29">
        <v>2000</v>
      </c>
      <c r="W88" s="116">
        <v>19.100000000000001</v>
      </c>
      <c r="X88" s="8">
        <f t="shared" si="47"/>
        <v>38200</v>
      </c>
      <c r="Y88" s="31">
        <v>2000</v>
      </c>
      <c r="Z88" s="114">
        <v>19.100000000000001</v>
      </c>
      <c r="AA88" s="8">
        <f t="shared" si="50"/>
        <v>38200</v>
      </c>
      <c r="AB88" s="31">
        <v>2000</v>
      </c>
      <c r="AC88" s="114">
        <v>19.100000000000001</v>
      </c>
      <c r="AD88" s="8">
        <f t="shared" si="51"/>
        <v>38200</v>
      </c>
      <c r="AE88" s="9">
        <f t="shared" si="41"/>
        <v>191000</v>
      </c>
      <c r="AF88" s="33" t="s">
        <v>53</v>
      </c>
      <c r="AG88" s="34" t="s">
        <v>327</v>
      </c>
      <c r="AH88" s="8">
        <f t="shared" si="7"/>
        <v>114600</v>
      </c>
      <c r="AI88" s="1"/>
    </row>
    <row r="89" spans="1:35" ht="70.2" customHeight="1">
      <c r="A89" s="5" t="s">
        <v>24</v>
      </c>
      <c r="B89" s="5" t="s">
        <v>61</v>
      </c>
      <c r="C89" s="5">
        <v>4</v>
      </c>
      <c r="D89" s="2" t="s">
        <v>26</v>
      </c>
      <c r="E89" s="2" t="s">
        <v>419</v>
      </c>
      <c r="F89" s="4" t="s">
        <v>283</v>
      </c>
      <c r="G89" s="173" t="s">
        <v>434</v>
      </c>
      <c r="H89" s="5" t="s">
        <v>438</v>
      </c>
      <c r="I89" s="5" t="s">
        <v>438</v>
      </c>
      <c r="J89" s="4" t="s">
        <v>354</v>
      </c>
      <c r="K89" s="4" t="s">
        <v>387</v>
      </c>
      <c r="L89" s="5" t="s">
        <v>66</v>
      </c>
      <c r="M89" s="5" t="s">
        <v>33</v>
      </c>
      <c r="N89" s="6" t="s">
        <v>34</v>
      </c>
      <c r="O89" s="18" t="s">
        <v>35</v>
      </c>
      <c r="P89" s="29">
        <v>1000</v>
      </c>
      <c r="Q89" s="114">
        <v>19.100000000000001</v>
      </c>
      <c r="R89" s="8">
        <f t="shared" si="46"/>
        <v>19100</v>
      </c>
      <c r="S89" s="29">
        <v>1000</v>
      </c>
      <c r="T89" s="115">
        <v>19.100000000000001</v>
      </c>
      <c r="U89" s="8">
        <f t="shared" si="49"/>
        <v>19100</v>
      </c>
      <c r="V89" s="29">
        <v>1000</v>
      </c>
      <c r="W89" s="116">
        <v>19.100000000000001</v>
      </c>
      <c r="X89" s="8">
        <f t="shared" si="47"/>
        <v>19100</v>
      </c>
      <c r="Y89" s="31">
        <v>1000</v>
      </c>
      <c r="Z89" s="114">
        <v>19.100000000000001</v>
      </c>
      <c r="AA89" s="8">
        <f t="shared" si="50"/>
        <v>19100</v>
      </c>
      <c r="AB89" s="31">
        <v>1000</v>
      </c>
      <c r="AC89" s="114">
        <v>19.100000000000001</v>
      </c>
      <c r="AD89" s="8">
        <f t="shared" si="51"/>
        <v>19100</v>
      </c>
      <c r="AE89" s="9">
        <f t="shared" si="41"/>
        <v>95500</v>
      </c>
      <c r="AF89" s="33" t="s">
        <v>53</v>
      </c>
      <c r="AG89" s="34" t="s">
        <v>328</v>
      </c>
      <c r="AH89" s="8"/>
      <c r="AI89" s="1"/>
    </row>
    <row r="90" spans="1:35" ht="70.2" customHeight="1">
      <c r="A90" s="5" t="s">
        <v>144</v>
      </c>
      <c r="B90" s="5" t="s">
        <v>145</v>
      </c>
      <c r="C90" s="5">
        <v>2</v>
      </c>
      <c r="D90" s="4" t="s">
        <v>337</v>
      </c>
      <c r="E90" s="2" t="s">
        <v>424</v>
      </c>
      <c r="F90" s="4" t="s">
        <v>229</v>
      </c>
      <c r="G90" s="4" t="s">
        <v>230</v>
      </c>
      <c r="H90" s="4" t="s">
        <v>231</v>
      </c>
      <c r="I90" s="4" t="s">
        <v>49</v>
      </c>
      <c r="J90" s="4" t="s">
        <v>372</v>
      </c>
      <c r="K90" s="4" t="s">
        <v>236</v>
      </c>
      <c r="L90" s="5" t="s">
        <v>32</v>
      </c>
      <c r="M90" s="5" t="s">
        <v>33</v>
      </c>
      <c r="N90" s="6" t="s">
        <v>34</v>
      </c>
      <c r="O90" s="18" t="s">
        <v>35</v>
      </c>
      <c r="P90" s="29">
        <v>1</v>
      </c>
      <c r="Q90" s="8">
        <f>(827801+150836)*1.02</f>
        <v>998209.74</v>
      </c>
      <c r="R90" s="8">
        <f t="shared" si="46"/>
        <v>998209.74</v>
      </c>
      <c r="S90" s="29">
        <v>1</v>
      </c>
      <c r="T90" s="81">
        <f>R90*1.02</f>
        <v>1018173.9348</v>
      </c>
      <c r="U90" s="8">
        <f t="shared" si="49"/>
        <v>1018173.9348</v>
      </c>
      <c r="V90" s="29">
        <v>1</v>
      </c>
      <c r="W90" s="81">
        <f>U90*1.02</f>
        <v>1038537.4134960001</v>
      </c>
      <c r="X90" s="8">
        <f t="shared" si="47"/>
        <v>1038537.4134960001</v>
      </c>
      <c r="Y90" s="31">
        <v>1</v>
      </c>
      <c r="Z90" s="81">
        <f>X90*1.02</f>
        <v>1059308.1617659202</v>
      </c>
      <c r="AA90" s="8">
        <f t="shared" si="50"/>
        <v>1059308.1617659202</v>
      </c>
      <c r="AB90" s="31">
        <v>1</v>
      </c>
      <c r="AC90" s="81">
        <f>AA90*1.02</f>
        <v>1080494.3250012386</v>
      </c>
      <c r="AD90" s="8">
        <f t="shared" si="51"/>
        <v>1080494.3250012386</v>
      </c>
      <c r="AE90" s="9">
        <f t="shared" si="41"/>
        <v>5194723.5750631597</v>
      </c>
      <c r="AF90" s="33" t="s">
        <v>34</v>
      </c>
      <c r="AG90" s="34" t="s">
        <v>237</v>
      </c>
      <c r="AH90" s="8">
        <f t="shared" si="7"/>
        <v>3054921.0882960004</v>
      </c>
      <c r="AI90" s="1"/>
    </row>
    <row r="91" spans="1:35" ht="70.2" customHeight="1">
      <c r="A91" s="5" t="s">
        <v>44</v>
      </c>
      <c r="B91" s="5" t="s">
        <v>221</v>
      </c>
      <c r="C91" s="11">
        <v>4</v>
      </c>
      <c r="D91" s="5" t="s">
        <v>54</v>
      </c>
      <c r="E91" s="161" t="s">
        <v>417</v>
      </c>
      <c r="F91" s="5" t="s">
        <v>238</v>
      </c>
      <c r="G91" s="5" t="s">
        <v>239</v>
      </c>
      <c r="H91" s="11" t="s">
        <v>240</v>
      </c>
      <c r="I91" s="5" t="s">
        <v>241</v>
      </c>
      <c r="J91" s="4" t="s">
        <v>372</v>
      </c>
      <c r="K91" s="4" t="s">
        <v>242</v>
      </c>
      <c r="L91" s="5" t="s">
        <v>315</v>
      </c>
      <c r="M91" s="5" t="s">
        <v>243</v>
      </c>
      <c r="N91" s="6" t="s">
        <v>244</v>
      </c>
      <c r="O91" s="35" t="s">
        <v>245</v>
      </c>
      <c r="P91" s="36">
        <v>1</v>
      </c>
      <c r="Q91" s="37">
        <v>63781.97</v>
      </c>
      <c r="R91" s="8">
        <f>P91*Q91</f>
        <v>63781.97</v>
      </c>
      <c r="S91" s="38">
        <v>1</v>
      </c>
      <c r="T91" s="39">
        <v>65753.929999999993</v>
      </c>
      <c r="U91" s="8">
        <f>S91*T91</f>
        <v>65753.929999999993</v>
      </c>
      <c r="V91" s="38">
        <v>1</v>
      </c>
      <c r="W91" s="38">
        <v>67725.899999999994</v>
      </c>
      <c r="X91" s="8">
        <f>+V91*W91</f>
        <v>67725.899999999994</v>
      </c>
      <c r="Y91" s="38">
        <v>1</v>
      </c>
      <c r="Z91" s="39">
        <v>69697.87</v>
      </c>
      <c r="AA91" s="84">
        <f>+Y91*Z91</f>
        <v>69697.87</v>
      </c>
      <c r="AB91" s="38">
        <v>1</v>
      </c>
      <c r="AC91" s="40">
        <v>71669.84</v>
      </c>
      <c r="AD91" s="8">
        <f t="shared" si="40"/>
        <v>71669.84</v>
      </c>
      <c r="AE91" s="9">
        <f>+R91+U91+X91+AA91+AD91</f>
        <v>338629.51</v>
      </c>
      <c r="AF91" s="14" t="s">
        <v>246</v>
      </c>
      <c r="AG91" s="5" t="s">
        <v>247</v>
      </c>
      <c r="AH91" s="8">
        <f t="shared" si="7"/>
        <v>197261.8</v>
      </c>
      <c r="AI91" s="82"/>
    </row>
    <row r="92" spans="1:35" ht="70.2" customHeight="1">
      <c r="A92" s="5" t="s">
        <v>44</v>
      </c>
      <c r="B92" s="5" t="s">
        <v>45</v>
      </c>
      <c r="C92" s="5">
        <v>5</v>
      </c>
      <c r="D92" s="5" t="s">
        <v>54</v>
      </c>
      <c r="E92" s="161" t="s">
        <v>414</v>
      </c>
      <c r="F92" s="5" t="s">
        <v>46</v>
      </c>
      <c r="G92" s="5" t="s">
        <v>248</v>
      </c>
      <c r="H92" s="5" t="s">
        <v>249</v>
      </c>
      <c r="I92" s="35" t="s">
        <v>250</v>
      </c>
      <c r="J92" s="4" t="s">
        <v>372</v>
      </c>
      <c r="K92" s="4" t="s">
        <v>251</v>
      </c>
      <c r="L92" s="5" t="s">
        <v>315</v>
      </c>
      <c r="M92" s="5" t="s">
        <v>252</v>
      </c>
      <c r="N92" s="6" t="s">
        <v>244</v>
      </c>
      <c r="O92" s="35" t="s">
        <v>245</v>
      </c>
      <c r="P92" s="35">
        <v>1</v>
      </c>
      <c r="Q92" s="9">
        <v>431866.4</v>
      </c>
      <c r="R92" s="8">
        <f t="shared" ref="R92:R95" si="52">P92*Q92</f>
        <v>431866.4</v>
      </c>
      <c r="S92" s="38">
        <v>1</v>
      </c>
      <c r="T92" s="9">
        <v>475270.88</v>
      </c>
      <c r="U92" s="8">
        <f t="shared" ref="U92:U95" si="53">S92*T92</f>
        <v>475270.88</v>
      </c>
      <c r="V92" s="38">
        <v>1</v>
      </c>
      <c r="W92" s="8">
        <v>518675.36</v>
      </c>
      <c r="X92" s="8">
        <f t="shared" ref="X92:X95" si="54">+V92*W92</f>
        <v>518675.36</v>
      </c>
      <c r="Y92" s="38">
        <v>1</v>
      </c>
      <c r="Z92" s="8">
        <v>562079.84</v>
      </c>
      <c r="AA92" s="84">
        <f t="shared" ref="AA92:AA95" si="55">+Y92*Z92</f>
        <v>562079.84</v>
      </c>
      <c r="AB92" s="38">
        <v>1</v>
      </c>
      <c r="AC92" s="9">
        <v>605484.31999999995</v>
      </c>
      <c r="AD92" s="8">
        <f t="shared" si="40"/>
        <v>605484.31999999995</v>
      </c>
      <c r="AE92" s="9">
        <f>+R92+U92+X92+AA92+AD92</f>
        <v>2593376.7999999998</v>
      </c>
      <c r="AF92" s="14" t="s">
        <v>246</v>
      </c>
      <c r="AG92" s="26" t="s">
        <v>253</v>
      </c>
      <c r="AH92" s="8">
        <f t="shared" si="7"/>
        <v>1425812.6400000001</v>
      </c>
      <c r="AI92" s="82"/>
    </row>
    <row r="93" spans="1:35" ht="70.2" customHeight="1">
      <c r="A93" s="5" t="s">
        <v>44</v>
      </c>
      <c r="B93" s="5" t="s">
        <v>221</v>
      </c>
      <c r="C93" s="11">
        <v>4</v>
      </c>
      <c r="D93" s="5" t="s">
        <v>54</v>
      </c>
      <c r="E93" s="161" t="s">
        <v>417</v>
      </c>
      <c r="F93" s="5" t="s">
        <v>238</v>
      </c>
      <c r="G93" s="5" t="s">
        <v>239</v>
      </c>
      <c r="H93" s="11" t="s">
        <v>240</v>
      </c>
      <c r="I93" s="5" t="s">
        <v>241</v>
      </c>
      <c r="J93" s="4" t="s">
        <v>372</v>
      </c>
      <c r="K93" s="4" t="s">
        <v>254</v>
      </c>
      <c r="L93" s="5" t="s">
        <v>315</v>
      </c>
      <c r="M93" s="5" t="s">
        <v>255</v>
      </c>
      <c r="N93" s="6" t="s">
        <v>244</v>
      </c>
      <c r="O93" s="5" t="s">
        <v>67</v>
      </c>
      <c r="P93" s="35">
        <v>1</v>
      </c>
      <c r="Q93" s="9">
        <v>422756.75</v>
      </c>
      <c r="R93" s="8">
        <f t="shared" si="52"/>
        <v>422756.75</v>
      </c>
      <c r="S93" s="38">
        <v>1</v>
      </c>
      <c r="T93" s="41">
        <v>1391</v>
      </c>
      <c r="U93" s="8">
        <f t="shared" si="53"/>
        <v>1391</v>
      </c>
      <c r="V93" s="38">
        <v>1</v>
      </c>
      <c r="W93" s="8">
        <v>1058608.8500000001</v>
      </c>
      <c r="X93" s="8">
        <f t="shared" si="54"/>
        <v>1058608.8500000001</v>
      </c>
      <c r="Y93" s="38">
        <v>1</v>
      </c>
      <c r="Z93" s="8">
        <v>1270280.76</v>
      </c>
      <c r="AA93" s="84">
        <f t="shared" si="55"/>
        <v>1270280.76</v>
      </c>
      <c r="AB93" s="38">
        <v>1</v>
      </c>
      <c r="AC93" s="9">
        <v>1481952.68</v>
      </c>
      <c r="AD93" s="8">
        <f t="shared" si="40"/>
        <v>1481952.68</v>
      </c>
      <c r="AE93" s="9">
        <f>+R93+U93+X93+AA93+AD93</f>
        <v>4234990.04</v>
      </c>
      <c r="AF93" s="14" t="s">
        <v>246</v>
      </c>
      <c r="AG93" s="26" t="s">
        <v>256</v>
      </c>
      <c r="AH93" s="8">
        <f t="shared" si="7"/>
        <v>1482756.6</v>
      </c>
      <c r="AI93" s="82"/>
    </row>
    <row r="94" spans="1:35" ht="70.2" customHeight="1">
      <c r="A94" s="5" t="s">
        <v>44</v>
      </c>
      <c r="B94" s="5" t="s">
        <v>221</v>
      </c>
      <c r="C94" s="11">
        <v>1</v>
      </c>
      <c r="D94" s="5" t="s">
        <v>54</v>
      </c>
      <c r="E94" s="161" t="s">
        <v>414</v>
      </c>
      <c r="F94" s="5" t="s">
        <v>46</v>
      </c>
      <c r="G94" s="5" t="s">
        <v>248</v>
      </c>
      <c r="H94" s="5" t="s">
        <v>87</v>
      </c>
      <c r="I94" s="5" t="s">
        <v>82</v>
      </c>
      <c r="J94" s="4" t="s">
        <v>372</v>
      </c>
      <c r="K94" s="4" t="s">
        <v>373</v>
      </c>
      <c r="L94" s="5" t="s">
        <v>315</v>
      </c>
      <c r="M94" s="5" t="s">
        <v>257</v>
      </c>
      <c r="N94" s="6" t="s">
        <v>244</v>
      </c>
      <c r="O94" s="5" t="s">
        <v>245</v>
      </c>
      <c r="P94" s="36">
        <v>1</v>
      </c>
      <c r="Q94" s="41">
        <v>32237.03</v>
      </c>
      <c r="R94" s="8">
        <f t="shared" si="52"/>
        <v>32237.03</v>
      </c>
      <c r="S94" s="38">
        <v>1</v>
      </c>
      <c r="T94" s="42">
        <f>30205.54</f>
        <v>30205.54</v>
      </c>
      <c r="U94" s="8">
        <f t="shared" si="53"/>
        <v>30205.54</v>
      </c>
      <c r="V94" s="38">
        <v>1</v>
      </c>
      <c r="W94" s="39">
        <v>28174.06</v>
      </c>
      <c r="X94" s="8">
        <f t="shared" si="54"/>
        <v>28174.06</v>
      </c>
      <c r="Y94" s="38">
        <v>1</v>
      </c>
      <c r="Z94" s="42">
        <f>26142.58</f>
        <v>26142.58</v>
      </c>
      <c r="AA94" s="84">
        <f t="shared" si="55"/>
        <v>26142.58</v>
      </c>
      <c r="AB94" s="38">
        <v>1</v>
      </c>
      <c r="AC94" s="39">
        <v>24111.09</v>
      </c>
      <c r="AD94" s="8">
        <f t="shared" si="40"/>
        <v>24111.09</v>
      </c>
      <c r="AE94" s="9">
        <f>+R94+U94+X94+AA94+AD94</f>
        <v>140870.30000000002</v>
      </c>
      <c r="AF94" s="14" t="s">
        <v>246</v>
      </c>
      <c r="AG94" s="26" t="s">
        <v>258</v>
      </c>
      <c r="AH94" s="8">
        <f t="shared" si="7"/>
        <v>90616.63</v>
      </c>
      <c r="AI94" s="82"/>
    </row>
    <row r="95" spans="1:35" ht="70.2" customHeight="1">
      <c r="A95" s="5" t="s">
        <v>44</v>
      </c>
      <c r="B95" s="5" t="s">
        <v>221</v>
      </c>
      <c r="C95" s="11">
        <v>1</v>
      </c>
      <c r="D95" s="5" t="s">
        <v>54</v>
      </c>
      <c r="E95" s="161" t="s">
        <v>417</v>
      </c>
      <c r="F95" s="5" t="s">
        <v>240</v>
      </c>
      <c r="G95" s="5" t="s">
        <v>241</v>
      </c>
      <c r="H95" s="5" t="s">
        <v>48</v>
      </c>
      <c r="I95" s="5" t="s">
        <v>82</v>
      </c>
      <c r="J95" s="4" t="s">
        <v>372</v>
      </c>
      <c r="K95" s="4" t="s">
        <v>259</v>
      </c>
      <c r="L95" s="5" t="s">
        <v>315</v>
      </c>
      <c r="M95" s="5" t="s">
        <v>257</v>
      </c>
      <c r="N95" s="6" t="s">
        <v>244</v>
      </c>
      <c r="O95" s="5" t="s">
        <v>260</v>
      </c>
      <c r="P95" s="36">
        <v>1</v>
      </c>
      <c r="Q95" s="39">
        <v>2255273.5099999998</v>
      </c>
      <c r="R95" s="8">
        <f t="shared" si="52"/>
        <v>2255273.5099999998</v>
      </c>
      <c r="S95" s="38">
        <v>1</v>
      </c>
      <c r="T95" s="39">
        <v>2498937.19</v>
      </c>
      <c r="U95" s="8">
        <f t="shared" si="53"/>
        <v>2498937.19</v>
      </c>
      <c r="V95" s="38">
        <v>1</v>
      </c>
      <c r="W95" s="39">
        <v>2742600.87</v>
      </c>
      <c r="X95" s="8">
        <f t="shared" si="54"/>
        <v>2742600.87</v>
      </c>
      <c r="Y95" s="38">
        <v>1</v>
      </c>
      <c r="Z95" s="39">
        <v>2986264.55</v>
      </c>
      <c r="AA95" s="84">
        <f t="shared" si="55"/>
        <v>2986264.55</v>
      </c>
      <c r="AB95" s="38">
        <v>1</v>
      </c>
      <c r="AC95" s="39">
        <v>3229928.24</v>
      </c>
      <c r="AD95" s="8">
        <f t="shared" si="40"/>
        <v>3229928.24</v>
      </c>
      <c r="AE95" s="9">
        <f>+R95+U95+X95+AA95+AD95</f>
        <v>13713004.359999999</v>
      </c>
      <c r="AF95" s="14" t="s">
        <v>246</v>
      </c>
      <c r="AG95" s="26" t="s">
        <v>261</v>
      </c>
      <c r="AH95" s="8">
        <f t="shared" si="7"/>
        <v>7496811.5699999994</v>
      </c>
      <c r="AI95" s="82"/>
    </row>
    <row r="96" spans="1:35" ht="70.2" customHeight="1">
      <c r="A96" s="5" t="s">
        <v>24</v>
      </c>
      <c r="B96" s="5" t="s">
        <v>25</v>
      </c>
      <c r="C96" s="11">
        <v>1</v>
      </c>
      <c r="D96" s="2" t="s">
        <v>26</v>
      </c>
      <c r="E96" s="2" t="s">
        <v>410</v>
      </c>
      <c r="F96" s="2" t="s">
        <v>336</v>
      </c>
      <c r="G96" s="83" t="s">
        <v>47</v>
      </c>
      <c r="H96" s="43" t="s">
        <v>29</v>
      </c>
      <c r="I96" s="2" t="s">
        <v>263</v>
      </c>
      <c r="J96" s="4" t="s">
        <v>350</v>
      </c>
      <c r="K96" s="4" t="s">
        <v>264</v>
      </c>
      <c r="L96" s="5" t="s">
        <v>265</v>
      </c>
      <c r="M96" s="5"/>
      <c r="N96" s="6" t="s">
        <v>265</v>
      </c>
      <c r="O96" s="87"/>
      <c r="P96" s="11">
        <v>1</v>
      </c>
      <c r="Q96" s="44">
        <f>304951.4+213600+1815</f>
        <v>520366.4</v>
      </c>
      <c r="R96" s="8">
        <f t="shared" si="36"/>
        <v>520366.4</v>
      </c>
      <c r="S96" s="11">
        <v>1</v>
      </c>
      <c r="T96" s="45">
        <f>R96*1.05</f>
        <v>546384.72000000009</v>
      </c>
      <c r="U96" s="8">
        <f t="shared" si="37"/>
        <v>546384.72000000009</v>
      </c>
      <c r="V96" s="11">
        <v>1</v>
      </c>
      <c r="W96" s="45">
        <f>U96+1.05</f>
        <v>546385.77000000014</v>
      </c>
      <c r="X96" s="8">
        <f t="shared" si="38"/>
        <v>546385.77000000014</v>
      </c>
      <c r="Y96" s="11">
        <v>1</v>
      </c>
      <c r="Z96" s="45">
        <f>X96*1.05</f>
        <v>573705.05850000016</v>
      </c>
      <c r="AA96" s="84">
        <f t="shared" si="39"/>
        <v>573705.05850000016</v>
      </c>
      <c r="AB96" s="11">
        <v>1</v>
      </c>
      <c r="AC96" s="45">
        <f>AA96*1.05</f>
        <v>602390.3114250002</v>
      </c>
      <c r="AD96" s="8">
        <f t="shared" si="40"/>
        <v>602390.3114250002</v>
      </c>
      <c r="AE96" s="9">
        <f t="shared" si="41"/>
        <v>2789232.2599250004</v>
      </c>
      <c r="AF96" s="46" t="s">
        <v>265</v>
      </c>
      <c r="AG96" s="4" t="s">
        <v>266</v>
      </c>
      <c r="AH96" s="8">
        <f t="shared" si="7"/>
        <v>1613136.8900000001</v>
      </c>
    </row>
    <row r="97" spans="1:35" ht="70.2" customHeight="1">
      <c r="A97" s="5" t="s">
        <v>24</v>
      </c>
      <c r="B97" s="5" t="s">
        <v>25</v>
      </c>
      <c r="C97" s="11">
        <v>1</v>
      </c>
      <c r="D97" s="2" t="s">
        <v>26</v>
      </c>
      <c r="E97" s="161" t="s">
        <v>416</v>
      </c>
      <c r="F97" s="2" t="s">
        <v>262</v>
      </c>
      <c r="G97" s="83" t="s">
        <v>47</v>
      </c>
      <c r="H97" s="43" t="s">
        <v>267</v>
      </c>
      <c r="I97" s="2" t="s">
        <v>268</v>
      </c>
      <c r="J97" s="4" t="s">
        <v>356</v>
      </c>
      <c r="K97" s="4" t="s">
        <v>269</v>
      </c>
      <c r="L97" s="5" t="s">
        <v>265</v>
      </c>
      <c r="M97" s="5"/>
      <c r="N97" s="6" t="s">
        <v>265</v>
      </c>
      <c r="O97" s="87"/>
      <c r="P97" s="11">
        <v>1</v>
      </c>
      <c r="Q97" s="44">
        <f>638222.4+15459.8+560640</f>
        <v>1214322.2000000002</v>
      </c>
      <c r="R97" s="8">
        <f t="shared" si="36"/>
        <v>1214322.2000000002</v>
      </c>
      <c r="S97" s="11">
        <v>1</v>
      </c>
      <c r="T97" s="45">
        <f>R97*1.05</f>
        <v>1275038.3100000003</v>
      </c>
      <c r="U97" s="8">
        <f t="shared" si="37"/>
        <v>1275038.3100000003</v>
      </c>
      <c r="V97" s="11">
        <v>1</v>
      </c>
      <c r="W97" s="117">
        <f>U97*1.05</f>
        <v>1338790.2255000004</v>
      </c>
      <c r="X97" s="8">
        <f t="shared" si="38"/>
        <v>1338790.2255000004</v>
      </c>
      <c r="Y97" s="11">
        <v>1</v>
      </c>
      <c r="Z97" s="117">
        <f>X97*1.05</f>
        <v>1405729.7367750006</v>
      </c>
      <c r="AA97" s="84">
        <f t="shared" si="39"/>
        <v>1405729.7367750006</v>
      </c>
      <c r="AB97" s="11">
        <v>1</v>
      </c>
      <c r="AC97" s="117">
        <f>AA97*1.05</f>
        <v>1476016.2236137507</v>
      </c>
      <c r="AD97" s="8">
        <f t="shared" si="40"/>
        <v>1476016.2236137507</v>
      </c>
      <c r="AE97" s="9">
        <f t="shared" si="41"/>
        <v>6709896.6958887521</v>
      </c>
      <c r="AF97" s="46" t="s">
        <v>265</v>
      </c>
      <c r="AG97" s="4" t="s">
        <v>270</v>
      </c>
      <c r="AH97" s="8">
        <f t="shared" si="7"/>
        <v>3828150.7355000013</v>
      </c>
    </row>
    <row r="98" spans="1:35" ht="70.2" customHeight="1">
      <c r="A98" s="5" t="s">
        <v>24</v>
      </c>
      <c r="B98" s="5" t="s">
        <v>25</v>
      </c>
      <c r="C98" s="11">
        <v>1</v>
      </c>
      <c r="D98" s="2" t="s">
        <v>26</v>
      </c>
      <c r="E98" s="2" t="s">
        <v>410</v>
      </c>
      <c r="F98" s="2" t="s">
        <v>410</v>
      </c>
      <c r="G98" s="2" t="s">
        <v>410</v>
      </c>
      <c r="H98" s="2" t="s">
        <v>410</v>
      </c>
      <c r="I98" s="2" t="s">
        <v>410</v>
      </c>
      <c r="J98" s="2" t="s">
        <v>410</v>
      </c>
      <c r="K98" s="4" t="s">
        <v>338</v>
      </c>
      <c r="L98" s="5" t="s">
        <v>265</v>
      </c>
      <c r="M98" s="5"/>
      <c r="N98" s="6" t="s">
        <v>265</v>
      </c>
      <c r="O98" s="87"/>
      <c r="P98" s="11">
        <v>1</v>
      </c>
      <c r="Q98" s="44">
        <v>8421.64</v>
      </c>
      <c r="R98" s="8">
        <f t="shared" si="36"/>
        <v>8421.64</v>
      </c>
      <c r="S98" s="11">
        <v>1</v>
      </c>
      <c r="T98" s="44">
        <f>R98*1.05</f>
        <v>8842.7219999999998</v>
      </c>
      <c r="U98" s="8">
        <f t="shared" si="37"/>
        <v>8842.7219999999998</v>
      </c>
      <c r="V98" s="11">
        <v>1</v>
      </c>
      <c r="W98" s="44">
        <f>U98*1.05</f>
        <v>9284.8580999999995</v>
      </c>
      <c r="X98" s="8">
        <f t="shared" si="38"/>
        <v>9284.8580999999995</v>
      </c>
      <c r="Y98" s="11">
        <v>1</v>
      </c>
      <c r="Z98" s="44">
        <f>X98*1.05</f>
        <v>9749.1010050000004</v>
      </c>
      <c r="AA98" s="84">
        <f t="shared" si="39"/>
        <v>9749.1010050000004</v>
      </c>
      <c r="AB98" s="11">
        <v>1</v>
      </c>
      <c r="AC98" s="44">
        <f>AA98*1.05</f>
        <v>10236.556055250001</v>
      </c>
      <c r="AD98" s="8">
        <f t="shared" si="40"/>
        <v>10236.556055250001</v>
      </c>
      <c r="AE98" s="9">
        <f t="shared" si="41"/>
        <v>46534.877160249998</v>
      </c>
      <c r="AF98" s="46" t="s">
        <v>265</v>
      </c>
      <c r="AG98" s="4" t="s">
        <v>271</v>
      </c>
      <c r="AH98" s="8">
        <f t="shared" ref="AH98:AH99" si="56">+R98+U98+X98</f>
        <v>26549.220099999999</v>
      </c>
    </row>
    <row r="99" spans="1:35" ht="70.2" customHeight="1">
      <c r="A99" s="5" t="s">
        <v>24</v>
      </c>
      <c r="B99" s="5" t="s">
        <v>25</v>
      </c>
      <c r="C99" s="11">
        <v>9</v>
      </c>
      <c r="D99" s="2" t="s">
        <v>26</v>
      </c>
      <c r="E99" s="2" t="s">
        <v>425</v>
      </c>
      <c r="F99" s="2" t="s">
        <v>336</v>
      </c>
      <c r="G99" s="102" t="s">
        <v>47</v>
      </c>
      <c r="H99" s="43" t="s">
        <v>29</v>
      </c>
      <c r="I99" s="2" t="s">
        <v>263</v>
      </c>
      <c r="J99" s="4" t="s">
        <v>375</v>
      </c>
      <c r="K99" s="4" t="s">
        <v>272</v>
      </c>
      <c r="L99" s="5" t="s">
        <v>265</v>
      </c>
      <c r="M99" s="5"/>
      <c r="N99" s="6" t="s">
        <v>265</v>
      </c>
      <c r="O99" s="87"/>
      <c r="P99" s="11">
        <v>1</v>
      </c>
      <c r="Q99" s="44">
        <f>65194.8+1032.8+5840+600+1240</f>
        <v>73907.600000000006</v>
      </c>
      <c r="R99" s="8">
        <f t="shared" si="36"/>
        <v>73907.600000000006</v>
      </c>
      <c r="S99" s="11">
        <v>1</v>
      </c>
      <c r="T99" s="44">
        <f>R99*1.05</f>
        <v>77602.98000000001</v>
      </c>
      <c r="U99" s="8">
        <f t="shared" si="37"/>
        <v>77602.98000000001</v>
      </c>
      <c r="V99" s="11">
        <v>1</v>
      </c>
      <c r="W99" s="44">
        <f>U99*1.05</f>
        <v>81483.129000000015</v>
      </c>
      <c r="X99" s="8">
        <f t="shared" si="38"/>
        <v>81483.129000000015</v>
      </c>
      <c r="Y99" s="11">
        <v>1</v>
      </c>
      <c r="Z99" s="44">
        <f>X99*1.05</f>
        <v>85557.285450000025</v>
      </c>
      <c r="AA99" s="84">
        <f t="shared" si="39"/>
        <v>85557.285450000025</v>
      </c>
      <c r="AB99" s="11">
        <v>1</v>
      </c>
      <c r="AC99" s="44">
        <f>AA99*1.05</f>
        <v>89835.149722500035</v>
      </c>
      <c r="AD99" s="8">
        <f t="shared" si="40"/>
        <v>89835.149722500035</v>
      </c>
      <c r="AE99" s="9">
        <f t="shared" si="41"/>
        <v>408386.14417250012</v>
      </c>
      <c r="AF99" s="46" t="s">
        <v>265</v>
      </c>
      <c r="AG99" s="4" t="s">
        <v>273</v>
      </c>
      <c r="AH99" s="8">
        <f t="shared" si="56"/>
        <v>232993.70900000003</v>
      </c>
    </row>
    <row r="100" spans="1:35" ht="98.4" customHeight="1">
      <c r="A100" s="5" t="s">
        <v>24</v>
      </c>
      <c r="B100" s="5" t="s">
        <v>25</v>
      </c>
      <c r="C100" s="11">
        <v>4</v>
      </c>
      <c r="D100" s="2" t="s">
        <v>26</v>
      </c>
      <c r="E100" s="2" t="s">
        <v>410</v>
      </c>
      <c r="F100" s="48" t="s">
        <v>274</v>
      </c>
      <c r="G100" s="49" t="s">
        <v>275</v>
      </c>
      <c r="H100" s="50" t="s">
        <v>276</v>
      </c>
      <c r="I100" s="102" t="s">
        <v>203</v>
      </c>
      <c r="J100" s="4" t="s">
        <v>375</v>
      </c>
      <c r="K100" s="52" t="s">
        <v>388</v>
      </c>
      <c r="L100" s="53" t="s">
        <v>277</v>
      </c>
      <c r="M100" s="53" t="s">
        <v>278</v>
      </c>
      <c r="N100" s="54" t="s">
        <v>52</v>
      </c>
      <c r="O100" s="55" t="s">
        <v>35</v>
      </c>
      <c r="P100" s="56">
        <f>2590*4</f>
        <v>10360</v>
      </c>
      <c r="Q100" s="8">
        <v>14</v>
      </c>
      <c r="R100" s="8">
        <f>P100*Q100</f>
        <v>145040</v>
      </c>
      <c r="S100" s="56">
        <f>2590*4</f>
        <v>10360</v>
      </c>
      <c r="T100" s="8">
        <v>14</v>
      </c>
      <c r="U100" s="8">
        <f>+S100*T100</f>
        <v>145040</v>
      </c>
      <c r="V100" s="56">
        <f>2589*4</f>
        <v>10356</v>
      </c>
      <c r="W100" s="8">
        <v>14</v>
      </c>
      <c r="X100" s="8">
        <f>+V100*W100</f>
        <v>144984</v>
      </c>
      <c r="Y100" s="56">
        <v>0</v>
      </c>
      <c r="Z100" s="56">
        <v>0</v>
      </c>
      <c r="AA100" s="84">
        <f t="shared" si="39"/>
        <v>0</v>
      </c>
      <c r="AB100" s="11">
        <v>0</v>
      </c>
      <c r="AC100" s="57">
        <v>0</v>
      </c>
      <c r="AD100" s="8">
        <f>+AB100*AC100</f>
        <v>0</v>
      </c>
      <c r="AE100" s="9">
        <f t="shared" si="41"/>
        <v>435064</v>
      </c>
      <c r="AF100" s="58" t="s">
        <v>41</v>
      </c>
      <c r="AG100" s="59" t="s">
        <v>341</v>
      </c>
      <c r="AH100" s="8">
        <f t="shared" ref="AH100:AH104" si="57">+R100+U100+X100</f>
        <v>435064</v>
      </c>
    </row>
    <row r="101" spans="1:35" ht="184.8">
      <c r="A101" s="47" t="s">
        <v>44</v>
      </c>
      <c r="B101" s="47" t="s">
        <v>221</v>
      </c>
      <c r="C101" s="11">
        <v>4</v>
      </c>
      <c r="D101" s="2" t="s">
        <v>26</v>
      </c>
      <c r="E101" s="2" t="s">
        <v>410</v>
      </c>
      <c r="F101" s="48" t="s">
        <v>274</v>
      </c>
      <c r="G101" s="49" t="s">
        <v>275</v>
      </c>
      <c r="H101" s="50" t="s">
        <v>276</v>
      </c>
      <c r="I101" s="102" t="s">
        <v>203</v>
      </c>
      <c r="J101" s="4" t="s">
        <v>375</v>
      </c>
      <c r="K101" s="52" t="s">
        <v>388</v>
      </c>
      <c r="L101" s="53" t="s">
        <v>277</v>
      </c>
      <c r="M101" s="53" t="s">
        <v>278</v>
      </c>
      <c r="N101" s="6" t="s">
        <v>43</v>
      </c>
      <c r="O101" s="55" t="s">
        <v>35</v>
      </c>
      <c r="P101" s="7">
        <v>0</v>
      </c>
      <c r="Q101" s="8">
        <v>0</v>
      </c>
      <c r="R101" s="8">
        <f t="shared" ref="R101" si="58">P101*Q101</f>
        <v>0</v>
      </c>
      <c r="S101" s="7"/>
      <c r="T101" s="8">
        <v>0</v>
      </c>
      <c r="U101" s="8">
        <f t="shared" ref="U101" si="59">+S101*T101</f>
        <v>0</v>
      </c>
      <c r="V101" s="7"/>
      <c r="W101" s="8">
        <v>0</v>
      </c>
      <c r="X101" s="8">
        <f t="shared" ref="X101" si="60">+V101*W101</f>
        <v>0</v>
      </c>
      <c r="Y101" s="56">
        <f>1714*4</f>
        <v>6856</v>
      </c>
      <c r="Z101" s="56">
        <v>14</v>
      </c>
      <c r="AA101" s="8">
        <f>+Y101*Z101</f>
        <v>95984</v>
      </c>
      <c r="AB101" s="11">
        <f>1235*4</f>
        <v>4940</v>
      </c>
      <c r="AC101" s="57">
        <v>14</v>
      </c>
      <c r="AD101" s="8">
        <f>+AB101*AC101</f>
        <v>69160</v>
      </c>
      <c r="AE101" s="9">
        <f t="shared" si="41"/>
        <v>165144</v>
      </c>
      <c r="AF101" s="58" t="s">
        <v>41</v>
      </c>
      <c r="AG101" s="59" t="s">
        <v>301</v>
      </c>
      <c r="AH101" s="8"/>
    </row>
    <row r="102" spans="1:35" ht="171.6">
      <c r="A102" s="47" t="s">
        <v>44</v>
      </c>
      <c r="B102" s="47" t="s">
        <v>221</v>
      </c>
      <c r="C102" s="11">
        <v>4</v>
      </c>
      <c r="D102" s="2" t="s">
        <v>26</v>
      </c>
      <c r="E102" s="2" t="s">
        <v>410</v>
      </c>
      <c r="F102" s="48" t="s">
        <v>274</v>
      </c>
      <c r="G102" s="49" t="s">
        <v>279</v>
      </c>
      <c r="H102" s="50" t="s">
        <v>276</v>
      </c>
      <c r="I102" s="102" t="s">
        <v>203</v>
      </c>
      <c r="J102" s="51" t="s">
        <v>374</v>
      </c>
      <c r="K102" s="52" t="s">
        <v>326</v>
      </c>
      <c r="L102" s="52" t="s">
        <v>277</v>
      </c>
      <c r="M102" s="53"/>
      <c r="N102" s="54" t="s">
        <v>34</v>
      </c>
      <c r="O102" s="55" t="s">
        <v>35</v>
      </c>
      <c r="P102" s="56">
        <v>7722</v>
      </c>
      <c r="Q102" s="8">
        <v>14</v>
      </c>
      <c r="R102" s="8">
        <f>P102*Q102</f>
        <v>108108</v>
      </c>
      <c r="S102" s="56">
        <v>7722</v>
      </c>
      <c r="T102" s="8">
        <v>14</v>
      </c>
      <c r="U102" s="8">
        <f>+S102*T102</f>
        <v>108108</v>
      </c>
      <c r="V102" s="56">
        <v>7722</v>
      </c>
      <c r="W102" s="8">
        <v>14</v>
      </c>
      <c r="X102" s="8">
        <f>+V102*W102</f>
        <v>108108</v>
      </c>
      <c r="Y102" s="56">
        <v>7722</v>
      </c>
      <c r="Z102" s="56">
        <v>14</v>
      </c>
      <c r="AA102" s="8">
        <f>+Y102*Z102</f>
        <v>108108</v>
      </c>
      <c r="AB102" s="11">
        <v>7725</v>
      </c>
      <c r="AC102" s="57">
        <v>14</v>
      </c>
      <c r="AD102" s="8">
        <f>+AB102*AC102</f>
        <v>108150</v>
      </c>
      <c r="AE102" s="9">
        <f t="shared" si="41"/>
        <v>540582</v>
      </c>
      <c r="AF102" s="58" t="s">
        <v>41</v>
      </c>
      <c r="AG102" s="59" t="s">
        <v>302</v>
      </c>
      <c r="AH102" s="8"/>
    </row>
    <row r="103" spans="1:35" ht="70.2" customHeight="1">
      <c r="A103" s="5" t="s">
        <v>24</v>
      </c>
      <c r="B103" s="5" t="s">
        <v>25</v>
      </c>
      <c r="C103" s="11">
        <v>5</v>
      </c>
      <c r="D103" s="2" t="s">
        <v>26</v>
      </c>
      <c r="E103" s="2" t="s">
        <v>410</v>
      </c>
      <c r="F103" s="2" t="s">
        <v>336</v>
      </c>
      <c r="G103" s="83" t="s">
        <v>47</v>
      </c>
      <c r="H103" s="43" t="s">
        <v>29</v>
      </c>
      <c r="I103" s="2" t="s">
        <v>263</v>
      </c>
      <c r="J103" s="4" t="s">
        <v>350</v>
      </c>
      <c r="K103" s="4" t="s">
        <v>280</v>
      </c>
      <c r="L103" s="5" t="s">
        <v>265</v>
      </c>
      <c r="M103" s="5"/>
      <c r="N103" s="6" t="s">
        <v>265</v>
      </c>
      <c r="O103" s="87"/>
      <c r="P103" s="11">
        <v>1</v>
      </c>
      <c r="Q103" s="44">
        <v>10000</v>
      </c>
      <c r="R103" s="8">
        <f t="shared" si="36"/>
        <v>10000</v>
      </c>
      <c r="S103" s="11">
        <v>1</v>
      </c>
      <c r="T103" s="44">
        <f>R103*1.05</f>
        <v>10500</v>
      </c>
      <c r="U103" s="8">
        <f t="shared" si="37"/>
        <v>10500</v>
      </c>
      <c r="V103" s="11">
        <v>1</v>
      </c>
      <c r="W103" s="44">
        <f>U103*1.05</f>
        <v>11025</v>
      </c>
      <c r="X103" s="8">
        <f t="shared" si="38"/>
        <v>11025</v>
      </c>
      <c r="Y103" s="11">
        <v>1</v>
      </c>
      <c r="Z103" s="44">
        <f>X103*1.05</f>
        <v>11576.25</v>
      </c>
      <c r="AA103" s="8">
        <f t="shared" si="39"/>
        <v>11576.25</v>
      </c>
      <c r="AB103" s="11">
        <v>1</v>
      </c>
      <c r="AC103" s="44">
        <f>AA103*1.05</f>
        <v>12155.0625</v>
      </c>
      <c r="AD103" s="8">
        <f t="shared" si="40"/>
        <v>12155.0625</v>
      </c>
      <c r="AE103" s="9">
        <f t="shared" si="41"/>
        <v>55256.3125</v>
      </c>
      <c r="AF103" s="46" t="s">
        <v>265</v>
      </c>
      <c r="AG103" s="59" t="s">
        <v>317</v>
      </c>
      <c r="AH103" s="8">
        <f t="shared" si="57"/>
        <v>31525</v>
      </c>
    </row>
    <row r="104" spans="1:35" ht="70.2" customHeight="1">
      <c r="A104" s="61"/>
      <c r="B104" s="61"/>
      <c r="C104" s="62"/>
      <c r="D104" s="60"/>
      <c r="E104" s="60"/>
      <c r="F104" s="60"/>
      <c r="G104" s="60"/>
      <c r="H104" s="60"/>
      <c r="I104" s="60"/>
      <c r="J104" s="60"/>
      <c r="K104" s="63"/>
      <c r="L104" s="64"/>
      <c r="M104" s="60"/>
      <c r="N104" s="6"/>
      <c r="O104" s="62"/>
      <c r="P104" s="62"/>
      <c r="Q104" s="62"/>
      <c r="R104" s="65">
        <f>+SUM(R3:R103)</f>
        <v>19173282.1054</v>
      </c>
      <c r="S104" s="62"/>
      <c r="T104" s="62"/>
      <c r="U104" s="65">
        <f>+SUM(U3:U103)</f>
        <v>20112191.2337</v>
      </c>
      <c r="V104" s="62"/>
      <c r="W104" s="62"/>
      <c r="X104" s="65">
        <f>+SUM(X3:X103)</f>
        <v>21043548.759137005</v>
      </c>
      <c r="Y104" s="62"/>
      <c r="Z104" s="62"/>
      <c r="AA104" s="65">
        <f>+SUM(AA3:AA103)</f>
        <v>21744925.863836486</v>
      </c>
      <c r="AB104" s="66"/>
      <c r="AC104" s="66"/>
      <c r="AD104" s="65">
        <f t="shared" ref="AD104" si="61">+SUM(AD3:AD103)</f>
        <v>22772072.477002814</v>
      </c>
      <c r="AE104" s="65">
        <f>+SUM(AE3:AE103)</f>
        <v>104846020.43907632</v>
      </c>
      <c r="AF104" s="67"/>
      <c r="AG104" s="17"/>
      <c r="AH104" s="8">
        <f t="shared" si="57"/>
        <v>60329022.098237008</v>
      </c>
      <c r="AI104" s="1"/>
    </row>
    <row r="105" spans="1:35" ht="70.2" customHeight="1">
      <c r="A105" s="68"/>
      <c r="B105" s="68"/>
      <c r="C105" s="68"/>
      <c r="D105" s="1"/>
      <c r="E105" s="1"/>
      <c r="F105" s="1"/>
      <c r="G105" s="1"/>
      <c r="H105" s="68"/>
      <c r="I105" s="1"/>
      <c r="J105" s="1"/>
      <c r="K105" s="90"/>
      <c r="L105" s="27"/>
      <c r="M105" s="1"/>
      <c r="N105" s="69"/>
      <c r="O105" s="88"/>
      <c r="P105" s="1"/>
      <c r="Q105" s="70"/>
      <c r="R105" s="1"/>
      <c r="S105" s="1"/>
      <c r="T105" s="70"/>
      <c r="U105" s="1"/>
      <c r="V105" s="1"/>
      <c r="W105" s="70"/>
      <c r="X105" s="1"/>
      <c r="Y105" s="1"/>
      <c r="Z105" s="70"/>
      <c r="AA105" s="1"/>
      <c r="AB105" s="71"/>
      <c r="AC105" s="71"/>
      <c r="AD105" s="71"/>
      <c r="AE105" s="71"/>
      <c r="AF105" s="1"/>
      <c r="AG105" s="72"/>
      <c r="AH105" s="99">
        <f>+AH75+AH74+AH71+AH70+AH69+AH68+AH64+AH62+AH61+AH58+AH53+AH51+AH49+AH48+AH46+AH44+AH42+AH39+AH36+AH33+AH31+AH26+AH24+AH23+AH20+AH18+AH15+AH13+AH12+AH10+AH9+AH7+AH4</f>
        <v>2164069.2999999998</v>
      </c>
      <c r="AI105" s="1"/>
    </row>
    <row r="106" spans="1:35" ht="70.2" customHeight="1">
      <c r="A106" s="68"/>
      <c r="B106" s="68"/>
      <c r="C106" s="68"/>
      <c r="D106" s="1"/>
      <c r="E106" s="1"/>
      <c r="F106" s="1"/>
      <c r="G106" s="1"/>
      <c r="H106" s="68"/>
      <c r="I106" s="1"/>
      <c r="J106" s="1"/>
      <c r="K106" s="90"/>
      <c r="L106" s="27"/>
      <c r="M106" s="1"/>
      <c r="N106" s="69"/>
      <c r="O106" s="88"/>
      <c r="P106" s="68"/>
      <c r="Q106" s="70"/>
      <c r="R106" s="1"/>
      <c r="S106" s="1"/>
      <c r="T106" s="70"/>
      <c r="U106" s="1"/>
      <c r="V106" s="1"/>
      <c r="W106" s="70"/>
      <c r="X106" s="1"/>
      <c r="Y106" s="1"/>
      <c r="Z106" s="70"/>
      <c r="AA106" s="1"/>
      <c r="AB106" s="71"/>
      <c r="AC106" s="71"/>
      <c r="AD106" s="71"/>
      <c r="AE106" s="71"/>
      <c r="AF106" s="1"/>
      <c r="AG106" s="72"/>
      <c r="AH106" s="1"/>
      <c r="AI106" s="1"/>
    </row>
    <row r="107" spans="1:35" ht="70.2" customHeight="1">
      <c r="A107" s="68"/>
      <c r="B107" s="68"/>
      <c r="C107" s="68"/>
      <c r="D107" s="1"/>
      <c r="E107" s="1"/>
      <c r="F107" s="1"/>
      <c r="G107" s="1"/>
      <c r="H107" s="68"/>
      <c r="I107" s="1"/>
      <c r="J107" s="1"/>
      <c r="K107" s="90"/>
      <c r="L107" s="27"/>
      <c r="M107" s="1"/>
      <c r="N107" s="69"/>
      <c r="O107" s="88"/>
      <c r="P107" s="68"/>
      <c r="Q107" s="70"/>
      <c r="R107" s="1"/>
      <c r="S107" s="1"/>
      <c r="T107" s="70"/>
      <c r="U107" s="1"/>
      <c r="V107" s="1"/>
      <c r="W107" s="70"/>
      <c r="X107" s="1"/>
      <c r="Y107" s="1"/>
      <c r="Z107" s="70"/>
      <c r="AA107" s="1"/>
      <c r="AB107" s="71"/>
      <c r="AC107" s="71"/>
      <c r="AD107" s="71"/>
      <c r="AE107" s="71"/>
      <c r="AF107" s="1"/>
      <c r="AG107" s="72"/>
      <c r="AH107" s="1"/>
      <c r="AI107" s="1"/>
    </row>
    <row r="108" spans="1:35" ht="70.2" customHeight="1">
      <c r="A108" s="68"/>
      <c r="B108" s="68"/>
      <c r="C108" s="68"/>
      <c r="D108" s="1"/>
      <c r="E108" s="1"/>
      <c r="F108" s="1"/>
      <c r="G108" s="1"/>
      <c r="H108" s="68"/>
      <c r="I108" s="1"/>
      <c r="J108" s="1"/>
      <c r="K108" s="90"/>
      <c r="L108" s="27"/>
      <c r="M108" s="1"/>
      <c r="N108" s="69"/>
      <c r="O108" s="88"/>
      <c r="P108" s="68"/>
      <c r="Q108" s="70"/>
      <c r="R108" s="1"/>
      <c r="S108" s="1"/>
      <c r="T108" s="70"/>
      <c r="U108" s="1"/>
      <c r="V108" s="1"/>
      <c r="W108" s="70"/>
      <c r="X108" s="1"/>
      <c r="Y108" s="1"/>
      <c r="Z108" s="70"/>
      <c r="AA108" s="1"/>
      <c r="AB108" s="71"/>
      <c r="AC108" s="71"/>
      <c r="AD108" s="71"/>
      <c r="AE108" s="71"/>
      <c r="AF108" s="1"/>
      <c r="AG108" s="72"/>
      <c r="AH108" s="1"/>
      <c r="AI108" s="1"/>
    </row>
    <row r="109" spans="1:35" ht="70.2" customHeight="1">
      <c r="A109" s="68"/>
      <c r="B109" s="68"/>
      <c r="C109" s="68"/>
      <c r="D109" s="1"/>
      <c r="E109" s="1"/>
      <c r="F109" s="1"/>
      <c r="G109" s="1"/>
      <c r="H109" s="68"/>
      <c r="I109" s="1"/>
      <c r="J109" s="1"/>
      <c r="K109" s="90"/>
      <c r="L109" s="27"/>
      <c r="M109" s="1"/>
      <c r="N109" s="69"/>
      <c r="O109" s="88"/>
      <c r="P109" s="68"/>
      <c r="Q109" s="70"/>
      <c r="R109" s="1"/>
      <c r="S109" s="1"/>
      <c r="T109" s="70"/>
      <c r="U109" s="1"/>
      <c r="V109" s="1"/>
      <c r="W109" s="70"/>
      <c r="X109" s="1"/>
      <c r="Y109" s="1"/>
      <c r="Z109" s="70"/>
      <c r="AA109" s="1"/>
      <c r="AB109" s="71"/>
      <c r="AC109" s="71"/>
      <c r="AD109" s="71"/>
      <c r="AE109" s="71"/>
      <c r="AF109" s="1"/>
      <c r="AG109" s="72"/>
      <c r="AH109" s="1"/>
      <c r="AI109" s="1"/>
    </row>
    <row r="110" spans="1:35" ht="70.2" customHeight="1">
      <c r="A110" s="68"/>
      <c r="B110" s="68"/>
      <c r="C110" s="68"/>
      <c r="D110" s="1"/>
      <c r="E110" s="1"/>
      <c r="F110" s="1"/>
      <c r="G110" s="1"/>
      <c r="H110" s="68"/>
      <c r="I110" s="1"/>
      <c r="J110" s="1"/>
      <c r="K110" s="90"/>
      <c r="L110" s="27"/>
      <c r="M110" s="1"/>
      <c r="N110" s="69"/>
      <c r="O110" s="88"/>
      <c r="P110" s="68"/>
      <c r="Q110" s="70"/>
      <c r="R110" s="1"/>
      <c r="S110" s="1"/>
      <c r="T110" s="70"/>
      <c r="U110" s="1"/>
      <c r="V110" s="1"/>
      <c r="W110" s="70"/>
      <c r="X110" s="1"/>
      <c r="Y110" s="1"/>
      <c r="Z110" s="70"/>
      <c r="AA110" s="1"/>
      <c r="AB110" s="71"/>
      <c r="AC110" s="71"/>
      <c r="AD110" s="71"/>
      <c r="AE110" s="71"/>
      <c r="AF110" s="1"/>
      <c r="AG110" s="72"/>
      <c r="AH110" s="1"/>
      <c r="AI110" s="1"/>
    </row>
    <row r="111" spans="1:35" ht="70.2" customHeight="1">
      <c r="A111" s="73"/>
      <c r="B111" s="73"/>
      <c r="C111" s="73"/>
      <c r="D111" s="74"/>
      <c r="E111" s="74"/>
      <c r="F111" s="74"/>
      <c r="G111" s="74"/>
      <c r="H111" s="73"/>
      <c r="I111" s="74"/>
      <c r="J111" s="74"/>
      <c r="K111" s="91"/>
      <c r="L111" s="75"/>
      <c r="M111" s="74"/>
      <c r="N111" s="76"/>
      <c r="O111" s="89"/>
      <c r="P111" s="73"/>
      <c r="Q111" s="77"/>
      <c r="R111" s="77">
        <v>19616697.859999999</v>
      </c>
      <c r="S111" s="77"/>
      <c r="T111" s="77"/>
      <c r="U111" s="77">
        <v>20323660.77</v>
      </c>
      <c r="V111" s="77"/>
      <c r="W111" s="77"/>
      <c r="X111" s="77">
        <v>21403090.199999999</v>
      </c>
      <c r="Y111" s="77"/>
      <c r="Z111" s="77"/>
      <c r="AA111" s="77">
        <v>22349051.670000002</v>
      </c>
      <c r="AB111" s="74"/>
      <c r="AC111" s="74"/>
      <c r="AD111" s="74">
        <v>24095747.030000001</v>
      </c>
      <c r="AE111" s="65">
        <v>106365513.76000001</v>
      </c>
      <c r="AF111" s="65">
        <v>106218536.78</v>
      </c>
      <c r="AG111" s="65"/>
      <c r="AH111" s="1"/>
      <c r="AI111" s="1"/>
    </row>
    <row r="112" spans="1:35" ht="70.2" customHeight="1">
      <c r="AE112" s="119">
        <f>+AE104-AE111</f>
        <v>-1519493.320923686</v>
      </c>
    </row>
  </sheetData>
  <autoFilter ref="A2:AI105" xr:uid="{779B5A8B-7634-4D59-939E-9085E5ADEC48}"/>
  <mergeCells count="1">
    <mergeCell ref="A1:AH1"/>
  </mergeCells>
  <phoneticPr fontId="1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4531-D7CB-4B46-B3B6-C530CAC4B56E}">
  <dimension ref="B1:AF112"/>
  <sheetViews>
    <sheetView topLeftCell="N100" zoomScale="60" zoomScaleNormal="60" workbookViewId="0">
      <selection activeCell="AA104" sqref="AA104"/>
    </sheetView>
  </sheetViews>
  <sheetFormatPr baseColWidth="10" defaultColWidth="11.5546875" defaultRowHeight="70.2" customHeight="1"/>
  <cols>
    <col min="1" max="1" width="4" style="78" customWidth="1"/>
    <col min="2" max="2" width="11.5546875" style="78"/>
    <col min="3" max="3" width="26" style="78" bestFit="1" customWidth="1"/>
    <col min="4" max="4" width="22" style="78" bestFit="1" customWidth="1"/>
    <col min="5" max="5" width="16.109375" style="78" customWidth="1"/>
    <col min="6" max="6" width="35.33203125" style="78" customWidth="1"/>
    <col min="7" max="7" width="35.21875" style="78" customWidth="1"/>
    <col min="8" max="8" width="45.88671875" style="78" customWidth="1"/>
    <col min="9" max="10" width="40.33203125" style="78" customWidth="1"/>
    <col min="11" max="11" width="44.21875" style="78" customWidth="1"/>
    <col min="12" max="12" width="41" style="78" customWidth="1"/>
    <col min="13" max="13" width="38.6640625" style="118" customWidth="1"/>
    <col min="14" max="14" width="19.33203125" style="78" customWidth="1"/>
    <col min="15" max="15" width="14" style="78" customWidth="1"/>
    <col min="16" max="16" width="16" style="78" customWidth="1"/>
    <col min="17" max="17" width="14.33203125" style="104" customWidth="1"/>
    <col min="18" max="18" width="13.6640625" style="82" customWidth="1"/>
    <col min="19" max="19" width="18.88671875" style="78" customWidth="1"/>
    <col min="20" max="20" width="18.109375" style="78" customWidth="1"/>
    <col min="21" max="21" width="13" style="78" customWidth="1"/>
    <col min="22" max="22" width="27.44140625" style="78" customWidth="1"/>
    <col min="23" max="23" width="20.33203125" style="78" customWidth="1"/>
    <col min="24" max="24" width="13" style="78" customWidth="1"/>
    <col min="25" max="25" width="27.44140625" style="78" customWidth="1"/>
    <col min="26" max="26" width="18.88671875" style="78" customWidth="1"/>
    <col min="27" max="27" width="25.88671875" style="78" customWidth="1"/>
    <col min="28" max="28" width="20" style="78" customWidth="1"/>
    <col min="29" max="29" width="68.5546875" style="78" customWidth="1"/>
    <col min="30" max="30" width="29.5546875" style="78" customWidth="1"/>
    <col min="31" max="16384" width="11.5546875" style="78"/>
  </cols>
  <sheetData>
    <row r="1" spans="2:32" ht="70.2" customHeight="1">
      <c r="C1" s="187" t="s">
        <v>345</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8"/>
      <c r="AD1" s="1"/>
    </row>
    <row r="2" spans="2:32" s="104" customFormat="1" ht="70.2" customHeight="1">
      <c r="B2" s="146" t="s">
        <v>404</v>
      </c>
      <c r="C2" s="146" t="s">
        <v>408</v>
      </c>
      <c r="D2" s="146" t="s">
        <v>1</v>
      </c>
      <c r="E2" s="149" t="s">
        <v>2</v>
      </c>
      <c r="F2" s="149" t="s">
        <v>407</v>
      </c>
      <c r="G2" s="149" t="s">
        <v>409</v>
      </c>
      <c r="H2" s="149" t="s">
        <v>4</v>
      </c>
      <c r="I2" s="149" t="s">
        <v>5</v>
      </c>
      <c r="J2" s="149" t="s">
        <v>6</v>
      </c>
      <c r="K2" s="149" t="s">
        <v>7</v>
      </c>
      <c r="L2" s="149" t="s">
        <v>346</v>
      </c>
      <c r="M2" s="149" t="s">
        <v>8</v>
      </c>
      <c r="N2" s="149" t="s">
        <v>9</v>
      </c>
      <c r="O2" s="149" t="s">
        <v>10</v>
      </c>
      <c r="P2" s="149" t="s">
        <v>11</v>
      </c>
      <c r="Q2" s="149" t="s">
        <v>12</v>
      </c>
      <c r="R2" s="149" t="s">
        <v>13</v>
      </c>
      <c r="S2" s="149" t="s">
        <v>14</v>
      </c>
      <c r="T2" s="146" t="s">
        <v>15</v>
      </c>
      <c r="U2" s="149" t="s">
        <v>13</v>
      </c>
      <c r="V2" s="146" t="s">
        <v>14</v>
      </c>
      <c r="W2" s="146" t="s">
        <v>16</v>
      </c>
      <c r="X2" s="149" t="s">
        <v>13</v>
      </c>
      <c r="Y2" s="146" t="s">
        <v>14</v>
      </c>
      <c r="Z2" s="146" t="s">
        <v>17</v>
      </c>
      <c r="AA2" s="148" t="s">
        <v>406</v>
      </c>
      <c r="AB2" s="149" t="s">
        <v>21</v>
      </c>
      <c r="AC2" s="149" t="s">
        <v>22</v>
      </c>
      <c r="AD2" s="149" t="s">
        <v>403</v>
      </c>
    </row>
    <row r="3" spans="2:32" ht="70.2" customHeight="1">
      <c r="B3" s="152"/>
      <c r="C3" s="5" t="s">
        <v>24</v>
      </c>
      <c r="D3" s="5" t="s">
        <v>25</v>
      </c>
      <c r="E3" s="5">
        <v>9</v>
      </c>
      <c r="F3" s="2" t="s">
        <v>26</v>
      </c>
      <c r="G3" s="2" t="s">
        <v>410</v>
      </c>
      <c r="H3" s="3" t="s">
        <v>27</v>
      </c>
      <c r="I3" s="4" t="s">
        <v>28</v>
      </c>
      <c r="J3" s="5" t="s">
        <v>29</v>
      </c>
      <c r="K3" s="5" t="s">
        <v>30</v>
      </c>
      <c r="L3" s="102" t="s">
        <v>351</v>
      </c>
      <c r="M3" s="102" t="s">
        <v>31</v>
      </c>
      <c r="N3" s="5" t="s">
        <v>32</v>
      </c>
      <c r="O3" s="5" t="s">
        <v>33</v>
      </c>
      <c r="P3" s="6" t="s">
        <v>34</v>
      </c>
      <c r="Q3" s="5" t="s">
        <v>35</v>
      </c>
      <c r="R3" s="7">
        <v>1</v>
      </c>
      <c r="S3" s="8">
        <v>10000</v>
      </c>
      <c r="T3" s="8">
        <f>R3*S3</f>
        <v>10000</v>
      </c>
      <c r="U3" s="7">
        <v>1</v>
      </c>
      <c r="V3" s="8">
        <v>10000</v>
      </c>
      <c r="W3" s="8">
        <f>+U3*V3</f>
        <v>10000</v>
      </c>
      <c r="X3" s="7">
        <v>1</v>
      </c>
      <c r="Y3" s="8">
        <v>10000</v>
      </c>
      <c r="Z3" s="8">
        <f>+X3*Y3</f>
        <v>10000</v>
      </c>
      <c r="AA3" s="9">
        <f>+T3+W3+Z3</f>
        <v>30000</v>
      </c>
      <c r="AB3" s="5" t="s">
        <v>34</v>
      </c>
      <c r="AC3" s="10" t="s">
        <v>318</v>
      </c>
      <c r="AD3" s="150"/>
    </row>
    <row r="4" spans="2:32" ht="70.2" customHeight="1">
      <c r="B4" s="153">
        <v>1</v>
      </c>
      <c r="C4" s="5" t="s">
        <v>24</v>
      </c>
      <c r="D4" s="5" t="s">
        <v>25</v>
      </c>
      <c r="E4" s="5">
        <v>9</v>
      </c>
      <c r="F4" s="2" t="s">
        <v>26</v>
      </c>
      <c r="G4" s="2" t="s">
        <v>410</v>
      </c>
      <c r="H4" s="3" t="s">
        <v>27</v>
      </c>
      <c r="I4" s="4" t="s">
        <v>28</v>
      </c>
      <c r="J4" s="5" t="s">
        <v>29</v>
      </c>
      <c r="K4" s="5" t="s">
        <v>36</v>
      </c>
      <c r="L4" s="102" t="s">
        <v>351</v>
      </c>
      <c r="M4" s="131" t="s">
        <v>37</v>
      </c>
      <c r="N4" s="5" t="s">
        <v>38</v>
      </c>
      <c r="O4" s="5" t="s">
        <v>39</v>
      </c>
      <c r="P4" s="6" t="s">
        <v>40</v>
      </c>
      <c r="Q4" s="5" t="s">
        <v>35</v>
      </c>
      <c r="R4" s="7">
        <v>1</v>
      </c>
      <c r="S4" s="8">
        <v>11000</v>
      </c>
      <c r="T4" s="147">
        <f>R4*S4</f>
        <v>11000</v>
      </c>
      <c r="U4" s="7">
        <v>1</v>
      </c>
      <c r="V4" s="8">
        <v>11000</v>
      </c>
      <c r="W4" s="147">
        <f>U4*V4</f>
        <v>11000</v>
      </c>
      <c r="X4" s="7">
        <v>1</v>
      </c>
      <c r="Y4" s="8">
        <v>11000</v>
      </c>
      <c r="Z4" s="147">
        <f>X4*Y4</f>
        <v>11000</v>
      </c>
      <c r="AA4" s="171">
        <f t="shared" ref="AA4:AA68" si="0">+T4+W4+Z4</f>
        <v>33000</v>
      </c>
      <c r="AB4" s="5" t="s">
        <v>41</v>
      </c>
      <c r="AC4" s="10" t="s">
        <v>42</v>
      </c>
      <c r="AD4" s="150"/>
    </row>
    <row r="5" spans="2:32" ht="70.2" customHeight="1">
      <c r="B5" s="152"/>
      <c r="C5" s="5" t="s">
        <v>24</v>
      </c>
      <c r="D5" s="5" t="s">
        <v>25</v>
      </c>
      <c r="E5" s="5">
        <v>9</v>
      </c>
      <c r="F5" s="2" t="s">
        <v>26</v>
      </c>
      <c r="G5" s="2" t="s">
        <v>410</v>
      </c>
      <c r="H5" s="3" t="s">
        <v>27</v>
      </c>
      <c r="I5" s="4" t="s">
        <v>28</v>
      </c>
      <c r="J5" s="5" t="s">
        <v>29</v>
      </c>
      <c r="K5" s="5" t="s">
        <v>36</v>
      </c>
      <c r="L5" s="102" t="s">
        <v>351</v>
      </c>
      <c r="M5" s="102" t="s">
        <v>37</v>
      </c>
      <c r="N5" s="5" t="s">
        <v>38</v>
      </c>
      <c r="O5" s="5" t="s">
        <v>39</v>
      </c>
      <c r="P5" s="6" t="s">
        <v>43</v>
      </c>
      <c r="Q5" s="5" t="s">
        <v>35</v>
      </c>
      <c r="R5" s="7"/>
      <c r="S5" s="8">
        <v>0</v>
      </c>
      <c r="T5" s="8">
        <f t="shared" ref="T5:T65" si="1">R5*S5</f>
        <v>0</v>
      </c>
      <c r="U5" s="7"/>
      <c r="V5" s="8">
        <v>0</v>
      </c>
      <c r="W5" s="8">
        <f t="shared" ref="W5:W65" si="2">+U5*V5</f>
        <v>0</v>
      </c>
      <c r="X5" s="7"/>
      <c r="Y5" s="8">
        <v>0</v>
      </c>
      <c r="Z5" s="8">
        <f t="shared" ref="Z5:Z75" si="3">+X5*Y5</f>
        <v>0</v>
      </c>
      <c r="AA5" s="9">
        <f t="shared" si="0"/>
        <v>0</v>
      </c>
      <c r="AB5" s="5" t="s">
        <v>41</v>
      </c>
      <c r="AC5" s="10" t="s">
        <v>42</v>
      </c>
      <c r="AD5" s="150"/>
    </row>
    <row r="6" spans="2:32" ht="70.2" customHeight="1">
      <c r="B6" s="152"/>
      <c r="C6" s="5" t="s">
        <v>44</v>
      </c>
      <c r="D6" s="5" t="s">
        <v>45</v>
      </c>
      <c r="E6" s="5">
        <v>6</v>
      </c>
      <c r="F6" s="2" t="s">
        <v>26</v>
      </c>
      <c r="G6" s="175" t="s">
        <v>414</v>
      </c>
      <c r="H6" s="3" t="s">
        <v>46</v>
      </c>
      <c r="I6" s="4" t="s">
        <v>47</v>
      </c>
      <c r="J6" s="5" t="s">
        <v>48</v>
      </c>
      <c r="K6" s="5" t="s">
        <v>49</v>
      </c>
      <c r="L6" s="4" t="s">
        <v>357</v>
      </c>
      <c r="M6" s="102" t="s">
        <v>50</v>
      </c>
      <c r="N6" s="5" t="s">
        <v>51</v>
      </c>
      <c r="O6" s="5" t="s">
        <v>39</v>
      </c>
      <c r="P6" s="6" t="s">
        <v>52</v>
      </c>
      <c r="Q6" s="11" t="s">
        <v>35</v>
      </c>
      <c r="R6" s="7">
        <v>1</v>
      </c>
      <c r="S6" s="8">
        <v>148300</v>
      </c>
      <c r="T6" s="8">
        <f>R6*S6</f>
        <v>148300</v>
      </c>
      <c r="U6" s="7"/>
      <c r="V6" s="8"/>
      <c r="W6" s="8">
        <f>+U6*V6</f>
        <v>0</v>
      </c>
      <c r="X6" s="7"/>
      <c r="Y6" s="8">
        <v>0</v>
      </c>
      <c r="Z6" s="8">
        <f t="shared" si="3"/>
        <v>0</v>
      </c>
      <c r="AA6" s="9">
        <f t="shared" si="0"/>
        <v>148300</v>
      </c>
      <c r="AB6" s="5" t="s">
        <v>53</v>
      </c>
      <c r="AC6" s="4" t="s">
        <v>309</v>
      </c>
      <c r="AD6" s="150"/>
    </row>
    <row r="7" spans="2:32" ht="91.8" customHeight="1">
      <c r="B7" s="153">
        <v>1</v>
      </c>
      <c r="C7" s="5" t="s">
        <v>24</v>
      </c>
      <c r="D7" s="5" t="s">
        <v>25</v>
      </c>
      <c r="E7" s="11">
        <v>2</v>
      </c>
      <c r="F7" s="5" t="s">
        <v>54</v>
      </c>
      <c r="G7" s="175" t="s">
        <v>414</v>
      </c>
      <c r="H7" s="3" t="s">
        <v>284</v>
      </c>
      <c r="I7" s="4" t="s">
        <v>55</v>
      </c>
      <c r="J7" s="5" t="s">
        <v>56</v>
      </c>
      <c r="K7" s="12" t="s">
        <v>57</v>
      </c>
      <c r="L7" s="12" t="s">
        <v>358</v>
      </c>
      <c r="M7" s="131" t="s">
        <v>291</v>
      </c>
      <c r="N7" s="5" t="s">
        <v>51</v>
      </c>
      <c r="O7" s="5" t="s">
        <v>39</v>
      </c>
      <c r="P7" s="6" t="s">
        <v>40</v>
      </c>
      <c r="Q7" s="11" t="s">
        <v>35</v>
      </c>
      <c r="R7" s="35">
        <f>16*7</f>
        <v>112</v>
      </c>
      <c r="S7" s="9">
        <v>25</v>
      </c>
      <c r="T7" s="147">
        <f>R7*S7</f>
        <v>2800</v>
      </c>
      <c r="U7" s="13">
        <f>16*7</f>
        <v>112</v>
      </c>
      <c r="V7" s="9">
        <v>25</v>
      </c>
      <c r="W7" s="147">
        <f>U7*V7</f>
        <v>2800</v>
      </c>
      <c r="X7" s="13">
        <f>16*7</f>
        <v>112</v>
      </c>
      <c r="Y7" s="9">
        <v>25</v>
      </c>
      <c r="Z7" s="147">
        <f>X7*Y7</f>
        <v>2800</v>
      </c>
      <c r="AA7" s="171">
        <f t="shared" si="0"/>
        <v>8400</v>
      </c>
      <c r="AB7" s="14" t="s">
        <v>41</v>
      </c>
      <c r="AC7" s="3" t="s">
        <v>294</v>
      </c>
      <c r="AD7" s="151"/>
    </row>
    <row r="8" spans="2:32" ht="70.2" customHeight="1">
      <c r="B8" s="152"/>
      <c r="C8" s="5" t="s">
        <v>24</v>
      </c>
      <c r="D8" s="5" t="s">
        <v>25</v>
      </c>
      <c r="E8" s="11">
        <v>2</v>
      </c>
      <c r="F8" s="5" t="s">
        <v>54</v>
      </c>
      <c r="G8" s="175" t="s">
        <v>414</v>
      </c>
      <c r="H8" s="3" t="s">
        <v>284</v>
      </c>
      <c r="I8" s="4" t="s">
        <v>55</v>
      </c>
      <c r="J8" s="5" t="s">
        <v>56</v>
      </c>
      <c r="K8" s="12" t="s">
        <v>57</v>
      </c>
      <c r="L8" s="12" t="s">
        <v>358</v>
      </c>
      <c r="M8" s="102" t="s">
        <v>291</v>
      </c>
      <c r="N8" s="5" t="s">
        <v>51</v>
      </c>
      <c r="O8" s="5" t="s">
        <v>39</v>
      </c>
      <c r="P8" s="6" t="s">
        <v>43</v>
      </c>
      <c r="Q8" s="11" t="s">
        <v>35</v>
      </c>
      <c r="R8" s="13"/>
      <c r="S8" s="9">
        <v>0</v>
      </c>
      <c r="T8" s="8">
        <f t="shared" si="1"/>
        <v>0</v>
      </c>
      <c r="U8" s="13"/>
      <c r="V8" s="9">
        <v>0</v>
      </c>
      <c r="W8" s="8">
        <f t="shared" si="2"/>
        <v>0</v>
      </c>
      <c r="X8" s="13"/>
      <c r="Y8" s="9">
        <v>0</v>
      </c>
      <c r="Z8" s="8">
        <f t="shared" si="3"/>
        <v>0</v>
      </c>
      <c r="AA8" s="9">
        <f t="shared" si="0"/>
        <v>0</v>
      </c>
      <c r="AB8" s="14" t="s">
        <v>41</v>
      </c>
      <c r="AC8" s="3" t="s">
        <v>58</v>
      </c>
      <c r="AD8" s="150"/>
    </row>
    <row r="9" spans="2:32" ht="96.6" customHeight="1">
      <c r="B9" s="153">
        <v>1</v>
      </c>
      <c r="C9" s="5" t="s">
        <v>24</v>
      </c>
      <c r="D9" s="5" t="s">
        <v>25</v>
      </c>
      <c r="E9" s="11">
        <v>5</v>
      </c>
      <c r="F9" s="2" t="s">
        <v>26</v>
      </c>
      <c r="G9" s="2" t="s">
        <v>410</v>
      </c>
      <c r="H9" s="3" t="s">
        <v>27</v>
      </c>
      <c r="I9" s="4" t="s">
        <v>28</v>
      </c>
      <c r="J9" s="5" t="s">
        <v>29</v>
      </c>
      <c r="K9" s="5" t="s">
        <v>30</v>
      </c>
      <c r="L9" s="12" t="s">
        <v>358</v>
      </c>
      <c r="M9" s="132" t="s">
        <v>59</v>
      </c>
      <c r="N9" s="5" t="s">
        <v>38</v>
      </c>
      <c r="O9" s="5" t="s">
        <v>39</v>
      </c>
      <c r="P9" s="6" t="s">
        <v>40</v>
      </c>
      <c r="Q9" s="11" t="s">
        <v>35</v>
      </c>
      <c r="R9" s="7">
        <v>9000</v>
      </c>
      <c r="S9" s="8">
        <v>2.5</v>
      </c>
      <c r="T9" s="147">
        <f>R9*S9</f>
        <v>22500</v>
      </c>
      <c r="U9" s="7">
        <v>0</v>
      </c>
      <c r="V9" s="8">
        <v>0</v>
      </c>
      <c r="W9" s="147">
        <f>U9*V9</f>
        <v>0</v>
      </c>
      <c r="X9" s="7">
        <v>0</v>
      </c>
      <c r="Y9" s="8">
        <v>0</v>
      </c>
      <c r="Z9" s="147">
        <f>X9*Y9</f>
        <v>0</v>
      </c>
      <c r="AA9" s="171">
        <f t="shared" si="0"/>
        <v>22500</v>
      </c>
      <c r="AB9" s="5" t="s">
        <v>41</v>
      </c>
      <c r="AC9" s="10" t="s">
        <v>60</v>
      </c>
      <c r="AD9" s="150"/>
      <c r="AF9" s="129"/>
    </row>
    <row r="10" spans="2:32" ht="70.2" customHeight="1">
      <c r="B10" s="152"/>
      <c r="C10" s="5" t="s">
        <v>24</v>
      </c>
      <c r="D10" s="5" t="s">
        <v>61</v>
      </c>
      <c r="E10" s="11">
        <v>5</v>
      </c>
      <c r="F10" s="2" t="s">
        <v>26</v>
      </c>
      <c r="G10" s="175" t="s">
        <v>420</v>
      </c>
      <c r="H10" s="3" t="s">
        <v>62</v>
      </c>
      <c r="I10" s="4" t="s">
        <v>47</v>
      </c>
      <c r="J10" s="5" t="s">
        <v>63</v>
      </c>
      <c r="K10" s="5" t="s">
        <v>64</v>
      </c>
      <c r="L10" s="105" t="s">
        <v>359</v>
      </c>
      <c r="M10" s="132" t="s">
        <v>393</v>
      </c>
      <c r="N10" s="5" t="s">
        <v>66</v>
      </c>
      <c r="O10" s="5" t="s">
        <v>39</v>
      </c>
      <c r="P10" s="6" t="s">
        <v>52</v>
      </c>
      <c r="Q10" s="5" t="s">
        <v>67</v>
      </c>
      <c r="R10" s="7">
        <v>1</v>
      </c>
      <c r="S10" s="8">
        <v>57000</v>
      </c>
      <c r="T10" s="8">
        <f>R10*S10</f>
        <v>57000</v>
      </c>
      <c r="U10" s="7">
        <v>1</v>
      </c>
      <c r="V10" s="8">
        <v>28500</v>
      </c>
      <c r="W10" s="8">
        <f>U10*V10</f>
        <v>28500</v>
      </c>
      <c r="X10" s="7">
        <v>1</v>
      </c>
      <c r="Y10" s="8">
        <v>46251</v>
      </c>
      <c r="Z10" s="8">
        <f>X10*Y10</f>
        <v>46251</v>
      </c>
      <c r="AA10" s="9">
        <f t="shared" si="0"/>
        <v>131751</v>
      </c>
      <c r="AB10" s="5" t="s">
        <v>41</v>
      </c>
      <c r="AC10" s="3" t="s">
        <v>68</v>
      </c>
      <c r="AD10" s="176">
        <f>AA10</f>
        <v>131751</v>
      </c>
    </row>
    <row r="11" spans="2:32" ht="70.2" customHeight="1">
      <c r="B11" s="152"/>
      <c r="C11" s="5" t="s">
        <v>24</v>
      </c>
      <c r="D11" s="5" t="s">
        <v>61</v>
      </c>
      <c r="E11" s="11">
        <v>5</v>
      </c>
      <c r="F11" s="2" t="s">
        <v>26</v>
      </c>
      <c r="G11" s="175" t="s">
        <v>420</v>
      </c>
      <c r="H11" s="3" t="s">
        <v>62</v>
      </c>
      <c r="I11" s="4" t="s">
        <v>47</v>
      </c>
      <c r="J11" s="5" t="s">
        <v>63</v>
      </c>
      <c r="K11" s="5" t="s">
        <v>64</v>
      </c>
      <c r="L11" s="105" t="s">
        <v>359</v>
      </c>
      <c r="M11" s="4" t="s">
        <v>65</v>
      </c>
      <c r="N11" s="5" t="s">
        <v>66</v>
      </c>
      <c r="O11" s="5"/>
      <c r="P11" s="6" t="s">
        <v>43</v>
      </c>
      <c r="Q11" s="5" t="s">
        <v>67</v>
      </c>
      <c r="R11" s="7"/>
      <c r="S11" s="8">
        <v>0</v>
      </c>
      <c r="T11" s="8">
        <f t="shared" si="1"/>
        <v>0</v>
      </c>
      <c r="U11" s="7"/>
      <c r="V11" s="8">
        <v>0</v>
      </c>
      <c r="W11" s="8">
        <f t="shared" si="2"/>
        <v>0</v>
      </c>
      <c r="X11" s="7"/>
      <c r="Y11" s="8">
        <v>0</v>
      </c>
      <c r="Z11" s="8">
        <f t="shared" si="3"/>
        <v>0</v>
      </c>
      <c r="AA11" s="9">
        <f t="shared" si="0"/>
        <v>0</v>
      </c>
      <c r="AB11" s="5" t="s">
        <v>41</v>
      </c>
      <c r="AC11" s="3" t="s">
        <v>68</v>
      </c>
      <c r="AD11" s="150"/>
    </row>
    <row r="12" spans="2:32" ht="111" customHeight="1">
      <c r="B12" s="153">
        <v>1</v>
      </c>
      <c r="C12" s="5" t="s">
        <v>24</v>
      </c>
      <c r="D12" s="5" t="s">
        <v>69</v>
      </c>
      <c r="E12" s="11">
        <v>5</v>
      </c>
      <c r="F12" s="4" t="s">
        <v>70</v>
      </c>
      <c r="G12" s="177" t="s">
        <v>421</v>
      </c>
      <c r="H12" s="3" t="s">
        <v>71</v>
      </c>
      <c r="I12" s="4" t="s">
        <v>72</v>
      </c>
      <c r="J12" s="5" t="s">
        <v>73</v>
      </c>
      <c r="K12" s="5" t="s">
        <v>64</v>
      </c>
      <c r="L12" s="4" t="s">
        <v>360</v>
      </c>
      <c r="M12" s="132" t="s">
        <v>361</v>
      </c>
      <c r="N12" s="5" t="s">
        <v>74</v>
      </c>
      <c r="O12" s="5"/>
      <c r="P12" s="6" t="s">
        <v>40</v>
      </c>
      <c r="Q12" s="11" t="s">
        <v>35</v>
      </c>
      <c r="R12" s="5">
        <v>6</v>
      </c>
      <c r="S12" s="8">
        <v>120</v>
      </c>
      <c r="T12" s="147">
        <f>R12*S12</f>
        <v>720</v>
      </c>
      <c r="U12" s="7">
        <v>0</v>
      </c>
      <c r="V12" s="8">
        <v>0</v>
      </c>
      <c r="W12" s="147">
        <f>U12*V12</f>
        <v>0</v>
      </c>
      <c r="X12" s="7"/>
      <c r="Y12" s="8"/>
      <c r="Z12" s="147">
        <f>X12*Y12</f>
        <v>0</v>
      </c>
      <c r="AA12" s="171">
        <f t="shared" si="0"/>
        <v>720</v>
      </c>
      <c r="AB12" s="5" t="s">
        <v>41</v>
      </c>
      <c r="AC12" s="4" t="s">
        <v>75</v>
      </c>
      <c r="AD12" s="150"/>
    </row>
    <row r="13" spans="2:32" ht="98.4" customHeight="1">
      <c r="B13" s="152"/>
      <c r="C13" s="5" t="s">
        <v>24</v>
      </c>
      <c r="D13" s="5" t="s">
        <v>69</v>
      </c>
      <c r="E13" s="5">
        <v>2</v>
      </c>
      <c r="F13" s="4" t="s">
        <v>70</v>
      </c>
      <c r="G13" s="177" t="s">
        <v>421</v>
      </c>
      <c r="H13" s="3" t="s">
        <v>71</v>
      </c>
      <c r="I13" s="4" t="s">
        <v>72</v>
      </c>
      <c r="J13" s="5" t="s">
        <v>73</v>
      </c>
      <c r="K13" s="5" t="s">
        <v>64</v>
      </c>
      <c r="L13" s="4" t="s">
        <v>360</v>
      </c>
      <c r="M13" s="132" t="s">
        <v>392</v>
      </c>
      <c r="N13" s="5" t="s">
        <v>74</v>
      </c>
      <c r="O13" s="5" t="s">
        <v>39</v>
      </c>
      <c r="P13" s="6" t="s">
        <v>43</v>
      </c>
      <c r="Q13" s="5" t="s">
        <v>76</v>
      </c>
      <c r="R13" s="7">
        <v>100</v>
      </c>
      <c r="S13" s="8">
        <v>25</v>
      </c>
      <c r="T13" s="8">
        <f t="shared" si="1"/>
        <v>2500</v>
      </c>
      <c r="U13" s="7">
        <v>100</v>
      </c>
      <c r="V13" s="8">
        <v>25</v>
      </c>
      <c r="W13" s="8">
        <f t="shared" si="2"/>
        <v>2500</v>
      </c>
      <c r="X13" s="7">
        <v>100</v>
      </c>
      <c r="Y13" s="8">
        <v>25</v>
      </c>
      <c r="Z13" s="8">
        <f t="shared" si="3"/>
        <v>2500</v>
      </c>
      <c r="AA13" s="9">
        <f t="shared" si="0"/>
        <v>7500</v>
      </c>
      <c r="AB13" s="5" t="s">
        <v>41</v>
      </c>
      <c r="AC13" s="4" t="s">
        <v>295</v>
      </c>
      <c r="AD13" s="176">
        <f>AA13</f>
        <v>7500</v>
      </c>
    </row>
    <row r="14" spans="2:32" ht="90.6" customHeight="1">
      <c r="B14" s="152"/>
      <c r="C14" s="5" t="s">
        <v>24</v>
      </c>
      <c r="D14" s="5" t="s">
        <v>69</v>
      </c>
      <c r="E14" s="5">
        <v>2</v>
      </c>
      <c r="F14" s="4" t="s">
        <v>70</v>
      </c>
      <c r="G14" s="177" t="s">
        <v>421</v>
      </c>
      <c r="H14" s="3" t="s">
        <v>71</v>
      </c>
      <c r="I14" s="4" t="s">
        <v>72</v>
      </c>
      <c r="J14" s="5" t="s">
        <v>73</v>
      </c>
      <c r="K14" s="5" t="s">
        <v>64</v>
      </c>
      <c r="L14" s="4" t="s">
        <v>360</v>
      </c>
      <c r="M14" s="4" t="s">
        <v>290</v>
      </c>
      <c r="N14" s="5" t="s">
        <v>74</v>
      </c>
      <c r="O14" s="5" t="s">
        <v>39</v>
      </c>
      <c r="P14" s="6" t="s">
        <v>43</v>
      </c>
      <c r="Q14" s="5" t="s">
        <v>76</v>
      </c>
      <c r="R14" s="7"/>
      <c r="S14" s="8">
        <v>0</v>
      </c>
      <c r="T14" s="8">
        <f t="shared" si="1"/>
        <v>0</v>
      </c>
      <c r="U14" s="7"/>
      <c r="V14" s="8">
        <v>0</v>
      </c>
      <c r="W14" s="8">
        <f t="shared" si="2"/>
        <v>0</v>
      </c>
      <c r="X14" s="7"/>
      <c r="Y14" s="8">
        <v>0</v>
      </c>
      <c r="Z14" s="8">
        <f t="shared" si="3"/>
        <v>0</v>
      </c>
      <c r="AA14" s="9">
        <f t="shared" si="0"/>
        <v>0</v>
      </c>
      <c r="AB14" s="5" t="s">
        <v>41</v>
      </c>
      <c r="AC14" s="4" t="s">
        <v>77</v>
      </c>
      <c r="AD14" s="150"/>
    </row>
    <row r="15" spans="2:32" ht="94.2" customHeight="1">
      <c r="B15" s="153">
        <v>1</v>
      </c>
      <c r="C15" s="5" t="s">
        <v>24</v>
      </c>
      <c r="D15" s="5" t="s">
        <v>69</v>
      </c>
      <c r="E15" s="5">
        <v>9</v>
      </c>
      <c r="F15" s="4" t="s">
        <v>70</v>
      </c>
      <c r="G15" s="177" t="s">
        <v>421</v>
      </c>
      <c r="H15" s="3" t="s">
        <v>71</v>
      </c>
      <c r="I15" s="4" t="s">
        <v>72</v>
      </c>
      <c r="J15" s="5" t="s">
        <v>73</v>
      </c>
      <c r="K15" s="5" t="s">
        <v>64</v>
      </c>
      <c r="L15" s="4" t="s">
        <v>360</v>
      </c>
      <c r="M15" s="132" t="s">
        <v>362</v>
      </c>
      <c r="N15" s="5" t="s">
        <v>74</v>
      </c>
      <c r="O15" s="5"/>
      <c r="P15" s="6" t="s">
        <v>40</v>
      </c>
      <c r="Q15" s="5"/>
      <c r="R15" s="5">
        <v>6</v>
      </c>
      <c r="S15" s="8">
        <v>300</v>
      </c>
      <c r="T15" s="147">
        <f>R15*S15</f>
        <v>1800</v>
      </c>
      <c r="U15" s="7">
        <v>0</v>
      </c>
      <c r="V15" s="8">
        <v>0</v>
      </c>
      <c r="W15" s="147">
        <f>U15*V15</f>
        <v>0</v>
      </c>
      <c r="X15" s="7"/>
      <c r="Y15" s="8"/>
      <c r="Z15" s="147">
        <f>X15*Y15</f>
        <v>0</v>
      </c>
      <c r="AA15" s="171">
        <f t="shared" si="0"/>
        <v>1800</v>
      </c>
      <c r="AB15" s="5" t="s">
        <v>41</v>
      </c>
      <c r="AC15" s="4" t="s">
        <v>296</v>
      </c>
      <c r="AD15" s="150"/>
    </row>
    <row r="16" spans="2:32" ht="70.2" customHeight="1">
      <c r="B16" s="152"/>
      <c r="C16" s="5" t="s">
        <v>78</v>
      </c>
      <c r="D16" s="5" t="s">
        <v>79</v>
      </c>
      <c r="E16" s="11">
        <v>10</v>
      </c>
      <c r="F16" s="2" t="s">
        <v>26</v>
      </c>
      <c r="G16" s="177" t="s">
        <v>415</v>
      </c>
      <c r="H16" s="159" t="s">
        <v>80</v>
      </c>
      <c r="I16" s="4" t="s">
        <v>47</v>
      </c>
      <c r="J16" s="15" t="s">
        <v>81</v>
      </c>
      <c r="K16" s="102" t="s">
        <v>82</v>
      </c>
      <c r="L16" s="160" t="s">
        <v>357</v>
      </c>
      <c r="M16" s="132" t="s">
        <v>83</v>
      </c>
      <c r="N16" s="5" t="s">
        <v>84</v>
      </c>
      <c r="O16" s="5" t="s">
        <v>39</v>
      </c>
      <c r="P16" s="6" t="s">
        <v>52</v>
      </c>
      <c r="Q16" s="11" t="s">
        <v>35</v>
      </c>
      <c r="R16" s="7">
        <v>1</v>
      </c>
      <c r="S16" s="8">
        <v>10000</v>
      </c>
      <c r="T16" s="8">
        <f>R16*S16</f>
        <v>10000</v>
      </c>
      <c r="U16" s="7">
        <v>1</v>
      </c>
      <c r="V16" s="8">
        <v>10000</v>
      </c>
      <c r="W16" s="8">
        <f>U16*V16</f>
        <v>10000</v>
      </c>
      <c r="X16" s="7">
        <v>1</v>
      </c>
      <c r="Y16" s="8">
        <v>10000</v>
      </c>
      <c r="Z16" s="8">
        <f>X16*Y16</f>
        <v>10000</v>
      </c>
      <c r="AA16" s="9">
        <f t="shared" si="0"/>
        <v>30000</v>
      </c>
      <c r="AB16" s="5" t="s">
        <v>41</v>
      </c>
      <c r="AC16" s="16" t="s">
        <v>85</v>
      </c>
      <c r="AD16" s="150"/>
    </row>
    <row r="17" spans="2:30" ht="70.2" customHeight="1">
      <c r="B17" s="152"/>
      <c r="C17" s="5" t="s">
        <v>78</v>
      </c>
      <c r="D17" s="5" t="s">
        <v>79</v>
      </c>
      <c r="E17" s="11">
        <v>3</v>
      </c>
      <c r="F17" s="2" t="s">
        <v>26</v>
      </c>
      <c r="G17" s="177" t="s">
        <v>415</v>
      </c>
      <c r="H17" s="159" t="s">
        <v>80</v>
      </c>
      <c r="I17" s="4" t="s">
        <v>47</v>
      </c>
      <c r="J17" s="15" t="s">
        <v>81</v>
      </c>
      <c r="K17" s="102" t="s">
        <v>82</v>
      </c>
      <c r="L17" s="160" t="s">
        <v>357</v>
      </c>
      <c r="M17" s="132" t="s">
        <v>83</v>
      </c>
      <c r="N17" s="5" t="s">
        <v>84</v>
      </c>
      <c r="O17" s="5" t="s">
        <v>86</v>
      </c>
      <c r="P17" s="6" t="s">
        <v>43</v>
      </c>
      <c r="Q17" s="5"/>
      <c r="R17" s="7">
        <v>0</v>
      </c>
      <c r="S17" s="8">
        <v>0</v>
      </c>
      <c r="T17" s="8">
        <f t="shared" si="1"/>
        <v>0</v>
      </c>
      <c r="U17" s="7">
        <v>0</v>
      </c>
      <c r="V17" s="8">
        <v>0</v>
      </c>
      <c r="W17" s="8">
        <f t="shared" si="2"/>
        <v>0</v>
      </c>
      <c r="X17" s="7">
        <v>0</v>
      </c>
      <c r="Y17" s="8">
        <v>0</v>
      </c>
      <c r="Z17" s="8">
        <f t="shared" si="3"/>
        <v>0</v>
      </c>
      <c r="AA17" s="9">
        <f t="shared" si="0"/>
        <v>0</v>
      </c>
      <c r="AB17" s="5" t="s">
        <v>41</v>
      </c>
      <c r="AC17" s="16" t="s">
        <v>298</v>
      </c>
      <c r="AD17" s="150"/>
    </row>
    <row r="18" spans="2:30" ht="70.2" customHeight="1">
      <c r="B18" s="152"/>
      <c r="C18" s="5" t="s">
        <v>78</v>
      </c>
      <c r="D18" s="5" t="s">
        <v>79</v>
      </c>
      <c r="E18" s="11">
        <v>2</v>
      </c>
      <c r="F18" s="2" t="s">
        <v>153</v>
      </c>
      <c r="G18" s="178" t="s">
        <v>424</v>
      </c>
      <c r="H18" s="4" t="s">
        <v>46</v>
      </c>
      <c r="I18" s="4" t="s">
        <v>47</v>
      </c>
      <c r="J18" s="4" t="s">
        <v>87</v>
      </c>
      <c r="K18" s="4" t="s">
        <v>88</v>
      </c>
      <c r="L18" s="4" t="s">
        <v>364</v>
      </c>
      <c r="M18" s="132" t="s">
        <v>394</v>
      </c>
      <c r="N18" s="5" t="s">
        <v>66</v>
      </c>
      <c r="O18" s="5" t="s">
        <v>39</v>
      </c>
      <c r="P18" s="6" t="s">
        <v>52</v>
      </c>
      <c r="Q18" s="5" t="s">
        <v>67</v>
      </c>
      <c r="R18" s="7">
        <v>600</v>
      </c>
      <c r="S18" s="8">
        <v>25</v>
      </c>
      <c r="T18" s="8">
        <f>R18*S18</f>
        <v>15000</v>
      </c>
      <c r="U18" s="7">
        <v>600</v>
      </c>
      <c r="V18" s="8">
        <v>25</v>
      </c>
      <c r="W18" s="8">
        <f>U18*V18</f>
        <v>15000</v>
      </c>
      <c r="X18" s="7">
        <v>600</v>
      </c>
      <c r="Y18" s="8">
        <v>25</v>
      </c>
      <c r="Z18" s="8">
        <f>X18*Y18</f>
        <v>15000</v>
      </c>
      <c r="AA18" s="9">
        <f t="shared" si="0"/>
        <v>45000</v>
      </c>
      <c r="AB18" s="5" t="s">
        <v>41</v>
      </c>
      <c r="AC18" s="4" t="s">
        <v>289</v>
      </c>
      <c r="AD18" s="176">
        <f>AA18</f>
        <v>45000</v>
      </c>
    </row>
    <row r="19" spans="2:30" ht="70.2" customHeight="1">
      <c r="B19" s="152"/>
      <c r="C19" s="5" t="s">
        <v>78</v>
      </c>
      <c r="D19" s="5" t="s">
        <v>79</v>
      </c>
      <c r="E19" s="11">
        <v>2</v>
      </c>
      <c r="F19" s="2" t="s">
        <v>153</v>
      </c>
      <c r="G19" s="178" t="s">
        <v>424</v>
      </c>
      <c r="H19" s="4" t="s">
        <v>46</v>
      </c>
      <c r="I19" s="4" t="s">
        <v>47</v>
      </c>
      <c r="J19" s="4" t="s">
        <v>87</v>
      </c>
      <c r="K19" s="4" t="s">
        <v>88</v>
      </c>
      <c r="L19" s="4" t="s">
        <v>364</v>
      </c>
      <c r="M19" s="4" t="s">
        <v>292</v>
      </c>
      <c r="N19" s="5" t="s">
        <v>66</v>
      </c>
      <c r="O19" s="5" t="s">
        <v>39</v>
      </c>
      <c r="P19" s="6" t="s">
        <v>43</v>
      </c>
      <c r="Q19" s="5" t="s">
        <v>67</v>
      </c>
      <c r="R19" s="7"/>
      <c r="S19" s="8">
        <v>0</v>
      </c>
      <c r="T19" s="8">
        <f t="shared" si="1"/>
        <v>0</v>
      </c>
      <c r="U19" s="7"/>
      <c r="V19" s="8">
        <v>0</v>
      </c>
      <c r="W19" s="8">
        <f t="shared" si="2"/>
        <v>0</v>
      </c>
      <c r="X19" s="7"/>
      <c r="Y19" s="8">
        <v>0</v>
      </c>
      <c r="Z19" s="8">
        <f t="shared" si="3"/>
        <v>0</v>
      </c>
      <c r="AA19" s="9">
        <f t="shared" si="0"/>
        <v>0</v>
      </c>
      <c r="AB19" s="5" t="s">
        <v>41</v>
      </c>
      <c r="AC19" s="4" t="s">
        <v>288</v>
      </c>
      <c r="AD19" s="150"/>
    </row>
    <row r="20" spans="2:30" ht="70.2" customHeight="1">
      <c r="B20" s="153">
        <v>1</v>
      </c>
      <c r="C20" s="5" t="s">
        <v>89</v>
      </c>
      <c r="D20" s="5" t="s">
        <v>90</v>
      </c>
      <c r="E20" s="11">
        <v>5</v>
      </c>
      <c r="F20" s="2" t="s">
        <v>26</v>
      </c>
      <c r="G20" s="175" t="s">
        <v>418</v>
      </c>
      <c r="H20" s="4" t="s">
        <v>91</v>
      </c>
      <c r="I20" s="4" t="s">
        <v>92</v>
      </c>
      <c r="J20" s="4" t="s">
        <v>93</v>
      </c>
      <c r="K20" s="4" t="s">
        <v>94</v>
      </c>
      <c r="L20" s="4" t="s">
        <v>365</v>
      </c>
      <c r="M20" s="132" t="s">
        <v>391</v>
      </c>
      <c r="N20" s="5" t="s">
        <v>95</v>
      </c>
      <c r="O20" s="5" t="s">
        <v>39</v>
      </c>
      <c r="P20" s="6" t="s">
        <v>40</v>
      </c>
      <c r="Q20" s="5" t="s">
        <v>67</v>
      </c>
      <c r="R20" s="7">
        <v>500</v>
      </c>
      <c r="S20" s="8">
        <v>10</v>
      </c>
      <c r="T20" s="147">
        <f>R20*S20</f>
        <v>5000</v>
      </c>
      <c r="U20" s="7">
        <v>500</v>
      </c>
      <c r="V20" s="8">
        <v>10</v>
      </c>
      <c r="W20" s="147">
        <f>U20*V20</f>
        <v>5000</v>
      </c>
      <c r="X20" s="7">
        <v>500</v>
      </c>
      <c r="Y20" s="8">
        <v>10</v>
      </c>
      <c r="Z20" s="147">
        <f>X20*Y20</f>
        <v>5000</v>
      </c>
      <c r="AA20" s="171">
        <f t="shared" si="0"/>
        <v>15000</v>
      </c>
      <c r="AB20" s="5" t="s">
        <v>53</v>
      </c>
      <c r="AC20" s="4" t="s">
        <v>390</v>
      </c>
      <c r="AD20" s="151"/>
    </row>
    <row r="21" spans="2:30" ht="70.2" customHeight="1">
      <c r="B21" s="152"/>
      <c r="C21" s="5" t="s">
        <v>89</v>
      </c>
      <c r="D21" s="5" t="s">
        <v>90</v>
      </c>
      <c r="E21" s="11">
        <v>5</v>
      </c>
      <c r="F21" s="2" t="s">
        <v>26</v>
      </c>
      <c r="G21" s="175" t="s">
        <v>418</v>
      </c>
      <c r="H21" s="4" t="s">
        <v>91</v>
      </c>
      <c r="I21" s="4" t="s">
        <v>92</v>
      </c>
      <c r="J21" s="4" t="s">
        <v>93</v>
      </c>
      <c r="K21" s="4" t="s">
        <v>94</v>
      </c>
      <c r="L21" s="4" t="s">
        <v>365</v>
      </c>
      <c r="M21" s="4" t="s">
        <v>312</v>
      </c>
      <c r="N21" s="5" t="s">
        <v>95</v>
      </c>
      <c r="O21" s="5" t="s">
        <v>39</v>
      </c>
      <c r="P21" s="6" t="s">
        <v>43</v>
      </c>
      <c r="Q21" s="5" t="s">
        <v>67</v>
      </c>
      <c r="R21" s="7">
        <v>0</v>
      </c>
      <c r="S21" s="8">
        <v>0</v>
      </c>
      <c r="T21" s="8">
        <f t="shared" ref="T21" si="4">R21*S21</f>
        <v>0</v>
      </c>
      <c r="U21" s="7">
        <v>0</v>
      </c>
      <c r="V21" s="8">
        <v>0</v>
      </c>
      <c r="W21" s="8">
        <f t="shared" ref="W21" si="5">+U21*V21</f>
        <v>0</v>
      </c>
      <c r="X21" s="7">
        <v>0</v>
      </c>
      <c r="Y21" s="8">
        <v>0</v>
      </c>
      <c r="Z21" s="8">
        <f t="shared" ref="Z21" si="6">+X21*Y21</f>
        <v>0</v>
      </c>
      <c r="AA21" s="9">
        <f t="shared" si="0"/>
        <v>0</v>
      </c>
      <c r="AB21" s="5" t="s">
        <v>53</v>
      </c>
      <c r="AC21" s="4" t="s">
        <v>96</v>
      </c>
      <c r="AD21" s="150"/>
    </row>
    <row r="22" spans="2:30" ht="70.2" customHeight="1">
      <c r="B22" s="152"/>
      <c r="C22" s="5" t="s">
        <v>44</v>
      </c>
      <c r="D22" s="5" t="s">
        <v>45</v>
      </c>
      <c r="E22" s="11">
        <v>5</v>
      </c>
      <c r="F22" s="5" t="s">
        <v>54</v>
      </c>
      <c r="G22" s="175" t="s">
        <v>414</v>
      </c>
      <c r="H22" s="4" t="s">
        <v>285</v>
      </c>
      <c r="I22" s="4" t="s">
        <v>97</v>
      </c>
      <c r="J22" s="4" t="s">
        <v>98</v>
      </c>
      <c r="K22" s="102" t="s">
        <v>82</v>
      </c>
      <c r="L22" s="102" t="s">
        <v>347</v>
      </c>
      <c r="M22" s="106" t="s">
        <v>310</v>
      </c>
      <c r="N22" s="5" t="s">
        <v>99</v>
      </c>
      <c r="O22" s="5" t="s">
        <v>100</v>
      </c>
      <c r="P22" s="6" t="s">
        <v>34</v>
      </c>
      <c r="Q22" s="11" t="s">
        <v>35</v>
      </c>
      <c r="R22" s="7">
        <v>150000</v>
      </c>
      <c r="S22" s="8">
        <v>0.2</v>
      </c>
      <c r="T22" s="8">
        <f>R22*S22</f>
        <v>30000</v>
      </c>
      <c r="U22" s="7">
        <v>150000</v>
      </c>
      <c r="V22" s="8">
        <v>0.2</v>
      </c>
      <c r="W22" s="8">
        <f>+U22*V22</f>
        <v>30000</v>
      </c>
      <c r="X22" s="7">
        <v>150000</v>
      </c>
      <c r="Y22" s="8">
        <v>0.2</v>
      </c>
      <c r="Z22" s="8">
        <f>+X22*Y22</f>
        <v>30000</v>
      </c>
      <c r="AA22" s="9">
        <f t="shared" si="0"/>
        <v>90000</v>
      </c>
      <c r="AB22" s="5" t="s">
        <v>41</v>
      </c>
      <c r="AC22" s="107" t="s">
        <v>101</v>
      </c>
      <c r="AD22" s="150"/>
    </row>
    <row r="23" spans="2:30" ht="87.6" customHeight="1">
      <c r="B23" s="153">
        <v>1</v>
      </c>
      <c r="C23" s="5" t="s">
        <v>24</v>
      </c>
      <c r="D23" s="5" t="s">
        <v>25</v>
      </c>
      <c r="E23" s="11">
        <v>5</v>
      </c>
      <c r="F23" s="5" t="s">
        <v>54</v>
      </c>
      <c r="G23" s="5" t="s">
        <v>410</v>
      </c>
      <c r="H23" s="4" t="s">
        <v>285</v>
      </c>
      <c r="I23" s="4" t="s">
        <v>97</v>
      </c>
      <c r="J23" s="4" t="s">
        <v>98</v>
      </c>
      <c r="K23" s="102" t="s">
        <v>82</v>
      </c>
      <c r="L23" s="12" t="s">
        <v>358</v>
      </c>
      <c r="M23" s="131" t="s">
        <v>399</v>
      </c>
      <c r="N23" s="5" t="s">
        <v>99</v>
      </c>
      <c r="O23" s="5" t="s">
        <v>100</v>
      </c>
      <c r="P23" s="6" t="s">
        <v>40</v>
      </c>
      <c r="Q23" s="11" t="s">
        <v>35</v>
      </c>
      <c r="R23" s="7">
        <v>50000</v>
      </c>
      <c r="S23" s="8">
        <v>0.2</v>
      </c>
      <c r="T23" s="147">
        <f t="shared" si="1"/>
        <v>10000</v>
      </c>
      <c r="U23" s="7">
        <v>50000</v>
      </c>
      <c r="V23" s="8">
        <v>0.2</v>
      </c>
      <c r="W23" s="147">
        <f t="shared" ref="W23:W24" si="7">U23*V23</f>
        <v>10000</v>
      </c>
      <c r="X23" s="7">
        <v>50000</v>
      </c>
      <c r="Y23" s="8">
        <v>0.2</v>
      </c>
      <c r="Z23" s="147">
        <f t="shared" ref="Z23:Z24" si="8">X23*Y23</f>
        <v>10000</v>
      </c>
      <c r="AA23" s="171">
        <f t="shared" si="0"/>
        <v>30000</v>
      </c>
      <c r="AB23" s="5" t="s">
        <v>41</v>
      </c>
      <c r="AC23" s="107" t="s">
        <v>101</v>
      </c>
      <c r="AD23" s="150"/>
    </row>
    <row r="24" spans="2:30" ht="75.599999999999994" customHeight="1">
      <c r="B24" s="153">
        <v>1</v>
      </c>
      <c r="C24" s="5" t="s">
        <v>44</v>
      </c>
      <c r="D24" s="5" t="s">
        <v>111</v>
      </c>
      <c r="E24" s="11">
        <v>5</v>
      </c>
      <c r="F24" s="5" t="s">
        <v>54</v>
      </c>
      <c r="G24" s="179" t="s">
        <v>414</v>
      </c>
      <c r="H24" s="4" t="s">
        <v>286</v>
      </c>
      <c r="I24" s="4" t="s">
        <v>102</v>
      </c>
      <c r="J24" s="4" t="s">
        <v>103</v>
      </c>
      <c r="K24" s="102" t="s">
        <v>104</v>
      </c>
      <c r="L24" s="102" t="s">
        <v>364</v>
      </c>
      <c r="M24" s="131" t="s">
        <v>105</v>
      </c>
      <c r="N24" s="5" t="s">
        <v>106</v>
      </c>
      <c r="O24" s="5" t="s">
        <v>100</v>
      </c>
      <c r="P24" s="6" t="s">
        <v>40</v>
      </c>
      <c r="Q24" s="11" t="s">
        <v>35</v>
      </c>
      <c r="R24" s="7">
        <v>1</v>
      </c>
      <c r="S24" s="8">
        <v>24915.38</v>
      </c>
      <c r="T24" s="147">
        <f t="shared" si="1"/>
        <v>24915.38</v>
      </c>
      <c r="U24" s="7">
        <v>1</v>
      </c>
      <c r="V24" s="8">
        <v>24984.94</v>
      </c>
      <c r="W24" s="147">
        <f t="shared" si="7"/>
        <v>24984.94</v>
      </c>
      <c r="X24" s="7">
        <v>1</v>
      </c>
      <c r="Y24" s="8">
        <v>26752.22</v>
      </c>
      <c r="Z24" s="147">
        <f t="shared" si="8"/>
        <v>26752.22</v>
      </c>
      <c r="AA24" s="171">
        <f t="shared" si="0"/>
        <v>76652.540000000008</v>
      </c>
      <c r="AB24" s="5" t="s">
        <v>53</v>
      </c>
      <c r="AC24" s="4" t="s">
        <v>107</v>
      </c>
      <c r="AD24" s="150"/>
    </row>
    <row r="25" spans="2:30" ht="75.599999999999994" customHeight="1">
      <c r="B25" s="152"/>
      <c r="C25" s="5" t="s">
        <v>44</v>
      </c>
      <c r="D25" s="5" t="s">
        <v>111</v>
      </c>
      <c r="E25" s="11">
        <v>5</v>
      </c>
      <c r="F25" s="5" t="s">
        <v>54</v>
      </c>
      <c r="G25" s="179" t="s">
        <v>414</v>
      </c>
      <c r="H25" s="4" t="s">
        <v>286</v>
      </c>
      <c r="I25" s="4" t="s">
        <v>102</v>
      </c>
      <c r="J25" s="4" t="s">
        <v>103</v>
      </c>
      <c r="K25" s="102" t="s">
        <v>104</v>
      </c>
      <c r="L25" s="102" t="s">
        <v>364</v>
      </c>
      <c r="M25" s="102" t="s">
        <v>105</v>
      </c>
      <c r="N25" s="5" t="s">
        <v>106</v>
      </c>
      <c r="O25" s="5" t="s">
        <v>100</v>
      </c>
      <c r="P25" s="6" t="s">
        <v>43</v>
      </c>
      <c r="Q25" s="11" t="s">
        <v>35</v>
      </c>
      <c r="R25" s="7"/>
      <c r="S25" s="8">
        <v>0</v>
      </c>
      <c r="T25" s="8">
        <f t="shared" si="1"/>
        <v>0</v>
      </c>
      <c r="U25" s="7"/>
      <c r="V25" s="8">
        <v>0</v>
      </c>
      <c r="W25" s="8">
        <f t="shared" si="2"/>
        <v>0</v>
      </c>
      <c r="X25" s="7"/>
      <c r="Y25" s="8">
        <v>0</v>
      </c>
      <c r="Z25" s="8">
        <f t="shared" si="3"/>
        <v>0</v>
      </c>
      <c r="AA25" s="9">
        <f t="shared" si="0"/>
        <v>0</v>
      </c>
      <c r="AB25" s="5" t="s">
        <v>53</v>
      </c>
      <c r="AC25" s="4" t="s">
        <v>107</v>
      </c>
      <c r="AD25" s="150"/>
    </row>
    <row r="26" spans="2:30" ht="75.599999999999994" customHeight="1">
      <c r="B26" s="153">
        <v>1</v>
      </c>
      <c r="C26" s="5" t="s">
        <v>24</v>
      </c>
      <c r="D26" s="5" t="s">
        <v>25</v>
      </c>
      <c r="E26" s="11">
        <v>5</v>
      </c>
      <c r="F26" s="5" t="s">
        <v>54</v>
      </c>
      <c r="G26" s="2" t="s">
        <v>410</v>
      </c>
      <c r="H26" s="4" t="s">
        <v>287</v>
      </c>
      <c r="I26" s="4" t="s">
        <v>108</v>
      </c>
      <c r="J26" s="4" t="s">
        <v>98</v>
      </c>
      <c r="K26" s="102" t="s">
        <v>109</v>
      </c>
      <c r="L26" s="12" t="s">
        <v>358</v>
      </c>
      <c r="M26" s="131" t="s">
        <v>433</v>
      </c>
      <c r="N26" s="5" t="s">
        <v>99</v>
      </c>
      <c r="O26" s="5" t="s">
        <v>100</v>
      </c>
      <c r="P26" s="6" t="s">
        <v>40</v>
      </c>
      <c r="Q26" s="11" t="s">
        <v>35</v>
      </c>
      <c r="R26" s="7">
        <v>32000</v>
      </c>
      <c r="S26" s="8">
        <v>8</v>
      </c>
      <c r="T26" s="147">
        <f>R26*S26</f>
        <v>256000</v>
      </c>
      <c r="U26" s="7">
        <v>32000</v>
      </c>
      <c r="V26" s="8">
        <v>8</v>
      </c>
      <c r="W26" s="147">
        <f>U26*V26</f>
        <v>256000</v>
      </c>
      <c r="X26" s="7">
        <v>27000</v>
      </c>
      <c r="Y26" s="8">
        <v>8</v>
      </c>
      <c r="Z26" s="147">
        <f>X26*Y26</f>
        <v>216000</v>
      </c>
      <c r="AA26" s="171">
        <f t="shared" si="0"/>
        <v>728000</v>
      </c>
      <c r="AB26" s="5" t="s">
        <v>53</v>
      </c>
      <c r="AC26" s="3" t="s">
        <v>314</v>
      </c>
      <c r="AD26" s="150"/>
    </row>
    <row r="27" spans="2:30" ht="70.2" customHeight="1">
      <c r="B27" s="152"/>
      <c r="C27" s="5" t="s">
        <v>24</v>
      </c>
      <c r="D27" s="5" t="s">
        <v>25</v>
      </c>
      <c r="E27" s="11">
        <v>5</v>
      </c>
      <c r="F27" s="5" t="s">
        <v>54</v>
      </c>
      <c r="G27" s="2" t="s">
        <v>410</v>
      </c>
      <c r="H27" s="4" t="s">
        <v>287</v>
      </c>
      <c r="I27" s="4" t="s">
        <v>108</v>
      </c>
      <c r="J27" s="4" t="s">
        <v>98</v>
      </c>
      <c r="K27" s="102" t="s">
        <v>109</v>
      </c>
      <c r="L27" s="12" t="s">
        <v>358</v>
      </c>
      <c r="M27" s="102" t="s">
        <v>305</v>
      </c>
      <c r="N27" s="5" t="s">
        <v>99</v>
      </c>
      <c r="O27" s="5" t="s">
        <v>100</v>
      </c>
      <c r="P27" s="6" t="s">
        <v>43</v>
      </c>
      <c r="Q27" s="11" t="s">
        <v>35</v>
      </c>
      <c r="R27" s="7"/>
      <c r="S27" s="8">
        <v>0</v>
      </c>
      <c r="T27" s="8">
        <f t="shared" si="1"/>
        <v>0</v>
      </c>
      <c r="U27" s="7"/>
      <c r="V27" s="8">
        <v>0</v>
      </c>
      <c r="W27" s="8">
        <f t="shared" si="2"/>
        <v>0</v>
      </c>
      <c r="X27" s="7"/>
      <c r="Y27" s="8">
        <v>0</v>
      </c>
      <c r="Z27" s="8">
        <f t="shared" si="3"/>
        <v>0</v>
      </c>
      <c r="AA27" s="9">
        <f t="shared" si="0"/>
        <v>0</v>
      </c>
      <c r="AB27" s="5" t="s">
        <v>53</v>
      </c>
      <c r="AC27" s="3" t="s">
        <v>110</v>
      </c>
      <c r="AD27" s="150"/>
    </row>
    <row r="28" spans="2:30" ht="70.2" customHeight="1">
      <c r="B28" s="152"/>
      <c r="C28" s="5" t="s">
        <v>44</v>
      </c>
      <c r="D28" s="5" t="s">
        <v>45</v>
      </c>
      <c r="E28" s="11">
        <v>5</v>
      </c>
      <c r="F28" s="5" t="s">
        <v>54</v>
      </c>
      <c r="G28" s="2" t="s">
        <v>410</v>
      </c>
      <c r="H28" s="4" t="s">
        <v>287</v>
      </c>
      <c r="I28" s="4" t="s">
        <v>108</v>
      </c>
      <c r="J28" s="4" t="s">
        <v>98</v>
      </c>
      <c r="K28" s="102" t="s">
        <v>109</v>
      </c>
      <c r="L28" s="12" t="s">
        <v>358</v>
      </c>
      <c r="M28" s="102" t="s">
        <v>305</v>
      </c>
      <c r="N28" s="5" t="s">
        <v>99</v>
      </c>
      <c r="O28" s="5"/>
      <c r="P28" s="6" t="s">
        <v>34</v>
      </c>
      <c r="Q28" s="11" t="s">
        <v>35</v>
      </c>
      <c r="R28" s="7">
        <v>24000</v>
      </c>
      <c r="S28" s="8">
        <v>8</v>
      </c>
      <c r="T28" s="8">
        <f t="shared" si="1"/>
        <v>192000</v>
      </c>
      <c r="U28" s="7">
        <v>28000</v>
      </c>
      <c r="V28" s="8">
        <v>8</v>
      </c>
      <c r="W28" s="8">
        <f t="shared" si="2"/>
        <v>224000</v>
      </c>
      <c r="X28" s="7">
        <v>28000</v>
      </c>
      <c r="Y28" s="8">
        <v>8</v>
      </c>
      <c r="Z28" s="8">
        <f t="shared" si="3"/>
        <v>224000</v>
      </c>
      <c r="AA28" s="9">
        <f t="shared" si="0"/>
        <v>640000</v>
      </c>
      <c r="AB28" s="5" t="s">
        <v>53</v>
      </c>
      <c r="AC28" s="3" t="s">
        <v>307</v>
      </c>
      <c r="AD28" s="150"/>
    </row>
    <row r="29" spans="2:30" ht="70.2" customHeight="1">
      <c r="B29" s="152"/>
      <c r="C29" s="5" t="s">
        <v>89</v>
      </c>
      <c r="D29" s="5" t="s">
        <v>90</v>
      </c>
      <c r="E29" s="11">
        <v>5</v>
      </c>
      <c r="F29" s="5" t="s">
        <v>54</v>
      </c>
      <c r="G29" s="2" t="s">
        <v>413</v>
      </c>
      <c r="H29" s="4" t="s">
        <v>287</v>
      </c>
      <c r="I29" s="4" t="s">
        <v>108</v>
      </c>
      <c r="J29" s="4" t="s">
        <v>98</v>
      </c>
      <c r="K29" s="102" t="s">
        <v>109</v>
      </c>
      <c r="L29" s="4" t="s">
        <v>365</v>
      </c>
      <c r="M29" s="102" t="s">
        <v>376</v>
      </c>
      <c r="N29" s="5" t="s">
        <v>99</v>
      </c>
      <c r="O29" s="5"/>
      <c r="P29" s="6" t="s">
        <v>34</v>
      </c>
      <c r="Q29" s="11" t="s">
        <v>35</v>
      </c>
      <c r="R29" s="7">
        <v>1200</v>
      </c>
      <c r="S29" s="8">
        <v>8</v>
      </c>
      <c r="T29" s="8">
        <f t="shared" si="1"/>
        <v>9600</v>
      </c>
      <c r="U29" s="7">
        <v>1200</v>
      </c>
      <c r="V29" s="8">
        <v>8</v>
      </c>
      <c r="W29" s="8">
        <f t="shared" si="2"/>
        <v>9600</v>
      </c>
      <c r="X29" s="7">
        <v>1200</v>
      </c>
      <c r="Y29" s="8">
        <v>8</v>
      </c>
      <c r="Z29" s="8">
        <f t="shared" si="3"/>
        <v>9600</v>
      </c>
      <c r="AA29" s="9">
        <f t="shared" si="0"/>
        <v>28800</v>
      </c>
      <c r="AB29" s="5" t="s">
        <v>53</v>
      </c>
      <c r="AC29" s="3" t="s">
        <v>311</v>
      </c>
      <c r="AD29" s="150"/>
    </row>
    <row r="30" spans="2:30" ht="87" customHeight="1">
      <c r="B30" s="152"/>
      <c r="C30" s="5" t="s">
        <v>306</v>
      </c>
      <c r="D30" s="5" t="s">
        <v>61</v>
      </c>
      <c r="E30" s="11">
        <v>5</v>
      </c>
      <c r="F30" s="5" t="s">
        <v>54</v>
      </c>
      <c r="G30" s="175" t="s">
        <v>417</v>
      </c>
      <c r="H30" s="4" t="s">
        <v>287</v>
      </c>
      <c r="I30" s="4" t="s">
        <v>108</v>
      </c>
      <c r="J30" s="4" t="s">
        <v>98</v>
      </c>
      <c r="K30" s="102" t="s">
        <v>109</v>
      </c>
      <c r="L30" s="4" t="s">
        <v>352</v>
      </c>
      <c r="M30" s="102" t="s">
        <v>377</v>
      </c>
      <c r="N30" s="5" t="s">
        <v>99</v>
      </c>
      <c r="O30" s="5"/>
      <c r="P30" s="6" t="s">
        <v>34</v>
      </c>
      <c r="Q30" s="11" t="s">
        <v>35</v>
      </c>
      <c r="R30" s="7">
        <v>36312</v>
      </c>
      <c r="S30" s="8">
        <v>8</v>
      </c>
      <c r="T30" s="8">
        <f t="shared" si="1"/>
        <v>290496</v>
      </c>
      <c r="U30" s="7">
        <v>36312</v>
      </c>
      <c r="V30" s="8">
        <v>8</v>
      </c>
      <c r="W30" s="8">
        <f t="shared" si="2"/>
        <v>290496</v>
      </c>
      <c r="X30" s="7">
        <v>36312</v>
      </c>
      <c r="Y30" s="8">
        <v>8</v>
      </c>
      <c r="Z30" s="8">
        <f t="shared" si="3"/>
        <v>290496</v>
      </c>
      <c r="AA30" s="9">
        <f t="shared" si="0"/>
        <v>871488</v>
      </c>
      <c r="AB30" s="5" t="s">
        <v>53</v>
      </c>
      <c r="AC30" s="3" t="s">
        <v>378</v>
      </c>
      <c r="AD30" s="150"/>
    </row>
    <row r="31" spans="2:30" ht="70.2" customHeight="1">
      <c r="B31" s="153">
        <v>1</v>
      </c>
      <c r="C31" s="5" t="s">
        <v>44</v>
      </c>
      <c r="D31" s="5" t="s">
        <v>111</v>
      </c>
      <c r="E31" s="11">
        <v>3</v>
      </c>
      <c r="F31" s="5" t="s">
        <v>54</v>
      </c>
      <c r="G31" s="175" t="s">
        <v>417</v>
      </c>
      <c r="H31" s="4" t="s">
        <v>287</v>
      </c>
      <c r="I31" s="4" t="s">
        <v>112</v>
      </c>
      <c r="J31" s="4" t="s">
        <v>98</v>
      </c>
      <c r="K31" s="4" t="s">
        <v>113</v>
      </c>
      <c r="L31" s="102" t="s">
        <v>364</v>
      </c>
      <c r="M31" s="102" t="s">
        <v>114</v>
      </c>
      <c r="N31" s="5" t="s">
        <v>106</v>
      </c>
      <c r="O31" s="5" t="s">
        <v>100</v>
      </c>
      <c r="P31" s="6" t="s">
        <v>40</v>
      </c>
      <c r="Q31" s="11" t="s">
        <v>35</v>
      </c>
      <c r="R31" s="7">
        <v>1</v>
      </c>
      <c r="S31" s="8">
        <v>4000</v>
      </c>
      <c r="T31" s="147">
        <f>R31*S31</f>
        <v>4000</v>
      </c>
      <c r="U31" s="7">
        <v>1</v>
      </c>
      <c r="V31" s="8">
        <v>4000</v>
      </c>
      <c r="W31" s="147">
        <f>U31*V31</f>
        <v>4000</v>
      </c>
      <c r="X31" s="7">
        <v>1</v>
      </c>
      <c r="Y31" s="8">
        <v>4000</v>
      </c>
      <c r="Z31" s="147">
        <f>X31*Y31</f>
        <v>4000</v>
      </c>
      <c r="AA31" s="171">
        <f t="shared" si="0"/>
        <v>12000</v>
      </c>
      <c r="AB31" s="5" t="s">
        <v>53</v>
      </c>
      <c r="AC31" s="4" t="s">
        <v>115</v>
      </c>
      <c r="AD31" s="150"/>
    </row>
    <row r="32" spans="2:30" ht="70.2" customHeight="1">
      <c r="B32" s="152"/>
      <c r="C32" s="5" t="s">
        <v>44</v>
      </c>
      <c r="D32" s="5" t="s">
        <v>111</v>
      </c>
      <c r="E32" s="11">
        <v>3</v>
      </c>
      <c r="F32" s="5" t="s">
        <v>54</v>
      </c>
      <c r="G32" s="175" t="s">
        <v>417</v>
      </c>
      <c r="H32" s="4" t="s">
        <v>287</v>
      </c>
      <c r="I32" s="4" t="s">
        <v>112</v>
      </c>
      <c r="J32" s="4" t="s">
        <v>98</v>
      </c>
      <c r="K32" s="4" t="s">
        <v>113</v>
      </c>
      <c r="L32" s="102" t="s">
        <v>364</v>
      </c>
      <c r="M32" s="102" t="s">
        <v>114</v>
      </c>
      <c r="N32" s="5" t="s">
        <v>106</v>
      </c>
      <c r="O32" s="5" t="s">
        <v>100</v>
      </c>
      <c r="P32" s="6" t="s">
        <v>43</v>
      </c>
      <c r="Q32" s="11" t="s">
        <v>35</v>
      </c>
      <c r="R32" s="7"/>
      <c r="S32" s="8">
        <v>0</v>
      </c>
      <c r="T32" s="8">
        <f t="shared" si="1"/>
        <v>0</v>
      </c>
      <c r="U32" s="7"/>
      <c r="V32" s="8">
        <v>0</v>
      </c>
      <c r="W32" s="8">
        <f t="shared" si="2"/>
        <v>0</v>
      </c>
      <c r="X32" s="7"/>
      <c r="Y32" s="8">
        <v>0</v>
      </c>
      <c r="Z32" s="8">
        <f t="shared" si="3"/>
        <v>0</v>
      </c>
      <c r="AA32" s="9">
        <f t="shared" si="0"/>
        <v>0</v>
      </c>
      <c r="AB32" s="5" t="s">
        <v>53</v>
      </c>
      <c r="AC32" s="4" t="s">
        <v>115</v>
      </c>
      <c r="AD32" s="150"/>
    </row>
    <row r="33" spans="2:30" ht="70.2" customHeight="1">
      <c r="B33" s="153">
        <v>1</v>
      </c>
      <c r="C33" s="5" t="s">
        <v>44</v>
      </c>
      <c r="D33" s="5" t="s">
        <v>45</v>
      </c>
      <c r="E33" s="11">
        <v>3</v>
      </c>
      <c r="F33" s="5" t="s">
        <v>54</v>
      </c>
      <c r="G33" s="175" t="s">
        <v>417</v>
      </c>
      <c r="H33" s="4" t="s">
        <v>287</v>
      </c>
      <c r="I33" s="4" t="s">
        <v>108</v>
      </c>
      <c r="J33" s="4" t="s">
        <v>98</v>
      </c>
      <c r="K33" s="4" t="s">
        <v>113</v>
      </c>
      <c r="L33" s="102" t="s">
        <v>364</v>
      </c>
      <c r="M33" s="102" t="s">
        <v>116</v>
      </c>
      <c r="N33" s="5" t="s">
        <v>99</v>
      </c>
      <c r="O33" s="5" t="s">
        <v>100</v>
      </c>
      <c r="P33" s="6" t="s">
        <v>40</v>
      </c>
      <c r="Q33" s="11" t="s">
        <v>35</v>
      </c>
      <c r="R33" s="7">
        <v>35</v>
      </c>
      <c r="S33" s="8">
        <v>500</v>
      </c>
      <c r="T33" s="147">
        <f>R33*S33</f>
        <v>17500</v>
      </c>
      <c r="U33" s="7">
        <v>34</v>
      </c>
      <c r="V33" s="8">
        <v>500</v>
      </c>
      <c r="W33" s="147">
        <f>U33*V33</f>
        <v>17000</v>
      </c>
      <c r="X33" s="7">
        <v>27</v>
      </c>
      <c r="Y33" s="8">
        <v>500</v>
      </c>
      <c r="Z33" s="147">
        <f>X33*Y33</f>
        <v>13500</v>
      </c>
      <c r="AA33" s="171">
        <f t="shared" si="0"/>
        <v>48000</v>
      </c>
      <c r="AB33" s="5" t="s">
        <v>53</v>
      </c>
      <c r="AC33" s="17" t="s">
        <v>117</v>
      </c>
      <c r="AD33" s="150"/>
    </row>
    <row r="34" spans="2:30" ht="70.2" customHeight="1">
      <c r="B34" s="152"/>
      <c r="C34" s="5" t="s">
        <v>44</v>
      </c>
      <c r="D34" s="5" t="s">
        <v>45</v>
      </c>
      <c r="E34" s="11">
        <v>5</v>
      </c>
      <c r="F34" s="5" t="s">
        <v>54</v>
      </c>
      <c r="G34" s="175" t="s">
        <v>417</v>
      </c>
      <c r="H34" s="4" t="s">
        <v>287</v>
      </c>
      <c r="I34" s="4" t="s">
        <v>108</v>
      </c>
      <c r="J34" s="4" t="s">
        <v>98</v>
      </c>
      <c r="K34" s="102" t="s">
        <v>109</v>
      </c>
      <c r="L34" s="102" t="s">
        <v>364</v>
      </c>
      <c r="M34" s="102" t="s">
        <v>116</v>
      </c>
      <c r="N34" s="5" t="s">
        <v>99</v>
      </c>
      <c r="O34" s="5"/>
      <c r="P34" s="6" t="s">
        <v>34</v>
      </c>
      <c r="Q34" s="11" t="s">
        <v>35</v>
      </c>
      <c r="R34" s="7">
        <v>45</v>
      </c>
      <c r="S34" s="8">
        <v>500</v>
      </c>
      <c r="T34" s="8">
        <f>R34*S34</f>
        <v>22500</v>
      </c>
      <c r="U34" s="7">
        <v>45</v>
      </c>
      <c r="V34" s="8">
        <v>500</v>
      </c>
      <c r="W34" s="8">
        <f>+U34*V34</f>
        <v>22500</v>
      </c>
      <c r="X34" s="7">
        <v>45</v>
      </c>
      <c r="Y34" s="8">
        <v>500</v>
      </c>
      <c r="Z34" s="8">
        <f>+X34*Y34</f>
        <v>22500</v>
      </c>
      <c r="AA34" s="9">
        <f t="shared" si="0"/>
        <v>67500</v>
      </c>
      <c r="AB34" s="5" t="s">
        <v>53</v>
      </c>
      <c r="AC34" s="17" t="s">
        <v>117</v>
      </c>
      <c r="AD34" s="150"/>
    </row>
    <row r="35" spans="2:30" ht="70.2" customHeight="1">
      <c r="B35" s="152"/>
      <c r="C35" s="5" t="s">
        <v>44</v>
      </c>
      <c r="D35" s="5" t="s">
        <v>45</v>
      </c>
      <c r="E35" s="11">
        <v>3</v>
      </c>
      <c r="F35" s="5" t="s">
        <v>54</v>
      </c>
      <c r="G35" s="175" t="s">
        <v>417</v>
      </c>
      <c r="H35" s="4" t="s">
        <v>287</v>
      </c>
      <c r="I35" s="4" t="s">
        <v>108</v>
      </c>
      <c r="J35" s="4" t="s">
        <v>98</v>
      </c>
      <c r="K35" s="4" t="s">
        <v>113</v>
      </c>
      <c r="L35" s="102" t="s">
        <v>364</v>
      </c>
      <c r="M35" s="102" t="s">
        <v>116</v>
      </c>
      <c r="N35" s="5" t="s">
        <v>99</v>
      </c>
      <c r="O35" s="5" t="s">
        <v>100</v>
      </c>
      <c r="P35" s="6" t="s">
        <v>43</v>
      </c>
      <c r="Q35" s="11" t="s">
        <v>35</v>
      </c>
      <c r="R35" s="7"/>
      <c r="S35" s="8">
        <v>0</v>
      </c>
      <c r="T35" s="8">
        <f t="shared" si="1"/>
        <v>0</v>
      </c>
      <c r="U35" s="7"/>
      <c r="V35" s="8">
        <v>0</v>
      </c>
      <c r="W35" s="8">
        <f t="shared" si="2"/>
        <v>0</v>
      </c>
      <c r="X35" s="7"/>
      <c r="Y35" s="8">
        <v>0</v>
      </c>
      <c r="Z35" s="8">
        <f t="shared" si="3"/>
        <v>0</v>
      </c>
      <c r="AA35" s="9">
        <f t="shared" si="0"/>
        <v>0</v>
      </c>
      <c r="AB35" s="5" t="s">
        <v>53</v>
      </c>
      <c r="AC35" s="17" t="s">
        <v>117</v>
      </c>
      <c r="AD35" s="150"/>
    </row>
    <row r="36" spans="2:30" ht="70.2" customHeight="1">
      <c r="B36" s="153">
        <v>1</v>
      </c>
      <c r="C36" s="5" t="s">
        <v>118</v>
      </c>
      <c r="D36" s="5" t="s">
        <v>111</v>
      </c>
      <c r="E36" s="11">
        <v>5</v>
      </c>
      <c r="F36" s="5" t="s">
        <v>54</v>
      </c>
      <c r="G36" s="5" t="s">
        <v>411</v>
      </c>
      <c r="H36" s="4" t="s">
        <v>287</v>
      </c>
      <c r="I36" s="4" t="s">
        <v>108</v>
      </c>
      <c r="J36" s="4" t="s">
        <v>98</v>
      </c>
      <c r="K36" s="102" t="s">
        <v>119</v>
      </c>
      <c r="L36" s="4" t="s">
        <v>363</v>
      </c>
      <c r="M36" s="131" t="s">
        <v>401</v>
      </c>
      <c r="N36" s="5" t="s">
        <v>99</v>
      </c>
      <c r="O36" s="5" t="s">
        <v>100</v>
      </c>
      <c r="P36" s="6" t="s">
        <v>40</v>
      </c>
      <c r="Q36" s="11" t="s">
        <v>35</v>
      </c>
      <c r="R36" s="7">
        <v>3500</v>
      </c>
      <c r="S36" s="8">
        <v>14.9</v>
      </c>
      <c r="T36" s="147">
        <f>R36*S36</f>
        <v>52150</v>
      </c>
      <c r="U36" s="7">
        <v>3500</v>
      </c>
      <c r="V36" s="8">
        <v>14.9</v>
      </c>
      <c r="W36" s="147">
        <f>U36*V36</f>
        <v>52150</v>
      </c>
      <c r="X36" s="7">
        <v>3500</v>
      </c>
      <c r="Y36" s="8">
        <v>14.9</v>
      </c>
      <c r="Z36" s="147">
        <f>X36*Y36</f>
        <v>52150</v>
      </c>
      <c r="AA36" s="171">
        <f t="shared" si="0"/>
        <v>156450</v>
      </c>
      <c r="AB36" s="5" t="s">
        <v>53</v>
      </c>
      <c r="AC36" s="3" t="s">
        <v>120</v>
      </c>
      <c r="AD36" s="152"/>
    </row>
    <row r="37" spans="2:30" ht="70.2" customHeight="1">
      <c r="B37" s="152"/>
      <c r="C37" s="5" t="s">
        <v>24</v>
      </c>
      <c r="D37" s="5" t="s">
        <v>25</v>
      </c>
      <c r="E37" s="11">
        <v>5</v>
      </c>
      <c r="F37" s="5" t="s">
        <v>54</v>
      </c>
      <c r="G37" s="5" t="s">
        <v>411</v>
      </c>
      <c r="H37" s="4" t="s">
        <v>287</v>
      </c>
      <c r="I37" s="4" t="s">
        <v>108</v>
      </c>
      <c r="J37" s="4" t="s">
        <v>98</v>
      </c>
      <c r="K37" s="102" t="s">
        <v>119</v>
      </c>
      <c r="L37" s="4" t="s">
        <v>363</v>
      </c>
      <c r="M37" s="102" t="s">
        <v>316</v>
      </c>
      <c r="N37" s="5" t="s">
        <v>99</v>
      </c>
      <c r="O37" s="5" t="s">
        <v>100</v>
      </c>
      <c r="P37" s="6" t="s">
        <v>43</v>
      </c>
      <c r="Q37" s="11" t="s">
        <v>35</v>
      </c>
      <c r="R37" s="7"/>
      <c r="S37" s="8">
        <v>0</v>
      </c>
      <c r="T37" s="8">
        <f t="shared" si="1"/>
        <v>0</v>
      </c>
      <c r="U37" s="7"/>
      <c r="V37" s="8">
        <v>0</v>
      </c>
      <c r="W37" s="8">
        <f t="shared" si="2"/>
        <v>0</v>
      </c>
      <c r="X37" s="7"/>
      <c r="Y37" s="8">
        <v>0</v>
      </c>
      <c r="Z37" s="8">
        <f t="shared" si="3"/>
        <v>0</v>
      </c>
      <c r="AA37" s="9">
        <f t="shared" si="0"/>
        <v>0</v>
      </c>
      <c r="AB37" s="5" t="s">
        <v>53</v>
      </c>
      <c r="AC37" s="3" t="s">
        <v>120</v>
      </c>
      <c r="AD37" s="152"/>
    </row>
    <row r="38" spans="2:30" ht="99.6" customHeight="1">
      <c r="B38" s="152"/>
      <c r="C38" s="5" t="s">
        <v>118</v>
      </c>
      <c r="D38" s="5" t="s">
        <v>111</v>
      </c>
      <c r="E38" s="11">
        <v>5</v>
      </c>
      <c r="F38" s="5" t="s">
        <v>54</v>
      </c>
      <c r="G38" s="2" t="s">
        <v>414</v>
      </c>
      <c r="H38" s="4" t="s">
        <v>287</v>
      </c>
      <c r="I38" s="4" t="s">
        <v>108</v>
      </c>
      <c r="J38" s="4" t="s">
        <v>98</v>
      </c>
      <c r="K38" s="102" t="s">
        <v>119</v>
      </c>
      <c r="L38" s="4" t="s">
        <v>348</v>
      </c>
      <c r="M38" s="102" t="s">
        <v>379</v>
      </c>
      <c r="N38" s="5" t="s">
        <v>99</v>
      </c>
      <c r="O38" s="5"/>
      <c r="P38" s="6" t="s">
        <v>34</v>
      </c>
      <c r="Q38" s="11" t="s">
        <v>35</v>
      </c>
      <c r="R38" s="7">
        <v>1200</v>
      </c>
      <c r="S38" s="8">
        <v>14.9</v>
      </c>
      <c r="T38" s="8">
        <f>R38*S38</f>
        <v>17880</v>
      </c>
      <c r="U38" s="7">
        <v>1200</v>
      </c>
      <c r="V38" s="8">
        <v>14.9</v>
      </c>
      <c r="W38" s="8">
        <f>+U38*V38</f>
        <v>17880</v>
      </c>
      <c r="X38" s="7">
        <v>1200</v>
      </c>
      <c r="Y38" s="8">
        <v>14.9</v>
      </c>
      <c r="Z38" s="8">
        <f>+X38*Y38</f>
        <v>17880</v>
      </c>
      <c r="AA38" s="9">
        <f t="shared" si="0"/>
        <v>53640</v>
      </c>
      <c r="AB38" s="5" t="s">
        <v>53</v>
      </c>
      <c r="AC38" s="3" t="s">
        <v>120</v>
      </c>
      <c r="AD38" s="152"/>
    </row>
    <row r="39" spans="2:30" ht="70.2" customHeight="1">
      <c r="B39" s="153">
        <v>1</v>
      </c>
      <c r="C39" s="5" t="s">
        <v>44</v>
      </c>
      <c r="D39" s="5" t="s">
        <v>45</v>
      </c>
      <c r="E39" s="11">
        <v>6</v>
      </c>
      <c r="F39" s="5" t="s">
        <v>54</v>
      </c>
      <c r="G39" s="2" t="s">
        <v>414</v>
      </c>
      <c r="H39" s="4" t="s">
        <v>287</v>
      </c>
      <c r="I39" s="4" t="s">
        <v>108</v>
      </c>
      <c r="J39" s="4" t="s">
        <v>98</v>
      </c>
      <c r="K39" s="102" t="s">
        <v>109</v>
      </c>
      <c r="L39" s="102" t="s">
        <v>364</v>
      </c>
      <c r="M39" s="131" t="s">
        <v>308</v>
      </c>
      <c r="N39" s="5" t="s">
        <v>99</v>
      </c>
      <c r="O39" s="5" t="s">
        <v>100</v>
      </c>
      <c r="P39" s="6" t="s">
        <v>40</v>
      </c>
      <c r="Q39" s="11" t="s">
        <v>35</v>
      </c>
      <c r="R39" s="7">
        <f>10+18</f>
        <v>28</v>
      </c>
      <c r="S39" s="8">
        <v>3860</v>
      </c>
      <c r="T39" s="147">
        <f>R39*S39</f>
        <v>108080</v>
      </c>
      <c r="U39" s="7">
        <v>10</v>
      </c>
      <c r="V39" s="8">
        <v>3860</v>
      </c>
      <c r="W39" s="147">
        <f>U39*V39</f>
        <v>38600</v>
      </c>
      <c r="X39" s="7">
        <v>8</v>
      </c>
      <c r="Y39" s="8">
        <v>3860</v>
      </c>
      <c r="Z39" s="147">
        <f>X39*Y39</f>
        <v>30880</v>
      </c>
      <c r="AA39" s="171">
        <f t="shared" si="0"/>
        <v>177560</v>
      </c>
      <c r="AB39" s="5" t="s">
        <v>53</v>
      </c>
      <c r="AC39" s="4" t="s">
        <v>121</v>
      </c>
      <c r="AD39" s="150"/>
    </row>
    <row r="40" spans="2:30" ht="70.2" customHeight="1">
      <c r="B40" s="152"/>
      <c r="C40" s="5" t="s">
        <v>44</v>
      </c>
      <c r="D40" s="5" t="s">
        <v>45</v>
      </c>
      <c r="E40" s="11">
        <v>6</v>
      </c>
      <c r="F40" s="5" t="s">
        <v>54</v>
      </c>
      <c r="G40" s="2" t="s">
        <v>414</v>
      </c>
      <c r="H40" s="4" t="s">
        <v>287</v>
      </c>
      <c r="I40" s="4" t="s">
        <v>108</v>
      </c>
      <c r="J40" s="4" t="s">
        <v>98</v>
      </c>
      <c r="K40" s="102" t="s">
        <v>109</v>
      </c>
      <c r="L40" s="102" t="s">
        <v>364</v>
      </c>
      <c r="M40" s="102" t="s">
        <v>308</v>
      </c>
      <c r="N40" s="5" t="s">
        <v>99</v>
      </c>
      <c r="O40" s="5" t="s">
        <v>100</v>
      </c>
      <c r="P40" s="6" t="s">
        <v>43</v>
      </c>
      <c r="Q40" s="18" t="s">
        <v>35</v>
      </c>
      <c r="R40" s="7">
        <v>0</v>
      </c>
      <c r="S40" s="8">
        <v>0</v>
      </c>
      <c r="T40" s="8">
        <f t="shared" si="1"/>
        <v>0</v>
      </c>
      <c r="U40" s="7">
        <v>0</v>
      </c>
      <c r="V40" s="8">
        <v>0</v>
      </c>
      <c r="W40" s="8">
        <f t="shared" si="2"/>
        <v>0</v>
      </c>
      <c r="X40" s="7"/>
      <c r="Y40" s="8">
        <v>0</v>
      </c>
      <c r="Z40" s="8">
        <f t="shared" si="3"/>
        <v>0</v>
      </c>
      <c r="AA40" s="9">
        <f t="shared" si="0"/>
        <v>0</v>
      </c>
      <c r="AB40" s="5" t="s">
        <v>53</v>
      </c>
      <c r="AC40" s="4" t="s">
        <v>121</v>
      </c>
      <c r="AD40" s="150"/>
    </row>
    <row r="41" spans="2:30" ht="70.2" customHeight="1">
      <c r="B41" s="152"/>
      <c r="C41" s="5" t="s">
        <v>44</v>
      </c>
      <c r="D41" s="5" t="s">
        <v>45</v>
      </c>
      <c r="E41" s="11">
        <v>6</v>
      </c>
      <c r="F41" s="5" t="s">
        <v>54</v>
      </c>
      <c r="G41" s="2" t="s">
        <v>414</v>
      </c>
      <c r="H41" s="4" t="s">
        <v>287</v>
      </c>
      <c r="I41" s="4" t="s">
        <v>108</v>
      </c>
      <c r="J41" s="4" t="s">
        <v>98</v>
      </c>
      <c r="K41" s="102" t="s">
        <v>109</v>
      </c>
      <c r="L41" s="102" t="s">
        <v>364</v>
      </c>
      <c r="M41" s="102" t="s">
        <v>308</v>
      </c>
      <c r="N41" s="5" t="s">
        <v>99</v>
      </c>
      <c r="O41" s="5"/>
      <c r="P41" s="6" t="s">
        <v>34</v>
      </c>
      <c r="Q41" s="18" t="s">
        <v>35</v>
      </c>
      <c r="R41" s="7">
        <v>45</v>
      </c>
      <c r="S41" s="8">
        <v>3860</v>
      </c>
      <c r="T41" s="8">
        <f>R41*S41</f>
        <v>173700</v>
      </c>
      <c r="U41" s="7">
        <v>45</v>
      </c>
      <c r="V41" s="8">
        <v>3860</v>
      </c>
      <c r="W41" s="8">
        <f>+U41*V41</f>
        <v>173700</v>
      </c>
      <c r="X41" s="7">
        <v>45</v>
      </c>
      <c r="Y41" s="8">
        <v>3860</v>
      </c>
      <c r="Z41" s="8">
        <f>+X41*Y41</f>
        <v>173700</v>
      </c>
      <c r="AA41" s="9">
        <f t="shared" si="0"/>
        <v>521100</v>
      </c>
      <c r="AB41" s="5"/>
      <c r="AC41" s="3" t="s">
        <v>120</v>
      </c>
      <c r="AD41" s="150"/>
    </row>
    <row r="42" spans="2:30" ht="70.2" customHeight="1">
      <c r="B42" s="153">
        <v>1</v>
      </c>
      <c r="C42" s="5" t="s">
        <v>44</v>
      </c>
      <c r="D42" s="5" t="s">
        <v>45</v>
      </c>
      <c r="E42" s="11">
        <v>5</v>
      </c>
      <c r="F42" s="5" t="s">
        <v>54</v>
      </c>
      <c r="G42" s="2" t="s">
        <v>414</v>
      </c>
      <c r="H42" s="4" t="s">
        <v>287</v>
      </c>
      <c r="I42" s="4" t="s">
        <v>108</v>
      </c>
      <c r="J42" s="4" t="s">
        <v>98</v>
      </c>
      <c r="K42" s="108" t="s">
        <v>122</v>
      </c>
      <c r="L42" s="102" t="s">
        <v>364</v>
      </c>
      <c r="M42" s="131" t="s">
        <v>123</v>
      </c>
      <c r="N42" s="5" t="s">
        <v>99</v>
      </c>
      <c r="O42" s="5" t="s">
        <v>100</v>
      </c>
      <c r="P42" s="6" t="s">
        <v>40</v>
      </c>
      <c r="Q42" s="18" t="s">
        <v>35</v>
      </c>
      <c r="R42" s="7">
        <v>20000</v>
      </c>
      <c r="S42" s="8">
        <v>0.4</v>
      </c>
      <c r="T42" s="147">
        <f>R42*S42</f>
        <v>8000</v>
      </c>
      <c r="U42" s="7">
        <v>20000</v>
      </c>
      <c r="V42" s="8">
        <v>0.4</v>
      </c>
      <c r="W42" s="147">
        <f>U42*V42</f>
        <v>8000</v>
      </c>
      <c r="X42" s="7">
        <v>20000</v>
      </c>
      <c r="Y42" s="8">
        <v>0.4</v>
      </c>
      <c r="Z42" s="147">
        <f>X42*Y42</f>
        <v>8000</v>
      </c>
      <c r="AA42" s="171">
        <f t="shared" si="0"/>
        <v>24000</v>
      </c>
      <c r="AB42" s="5" t="s">
        <v>34</v>
      </c>
      <c r="AC42" s="4" t="s">
        <v>124</v>
      </c>
      <c r="AD42" s="150"/>
    </row>
    <row r="43" spans="2:30" ht="70.2" customHeight="1">
      <c r="B43" s="152"/>
      <c r="C43" s="5" t="s">
        <v>44</v>
      </c>
      <c r="D43" s="5" t="s">
        <v>45</v>
      </c>
      <c r="E43" s="11">
        <v>5</v>
      </c>
      <c r="F43" s="5" t="s">
        <v>54</v>
      </c>
      <c r="G43" s="2" t="s">
        <v>414</v>
      </c>
      <c r="H43" s="4" t="s">
        <v>287</v>
      </c>
      <c r="I43" s="4" t="s">
        <v>108</v>
      </c>
      <c r="J43" s="4" t="s">
        <v>98</v>
      </c>
      <c r="K43" s="108" t="s">
        <v>122</v>
      </c>
      <c r="L43" s="102" t="s">
        <v>364</v>
      </c>
      <c r="M43" s="102" t="s">
        <v>123</v>
      </c>
      <c r="N43" s="5" t="s">
        <v>99</v>
      </c>
      <c r="O43" s="5" t="s">
        <v>100</v>
      </c>
      <c r="P43" s="6" t="s">
        <v>43</v>
      </c>
      <c r="Q43" s="18" t="s">
        <v>35</v>
      </c>
      <c r="R43" s="7"/>
      <c r="S43" s="8">
        <v>0</v>
      </c>
      <c r="T43" s="8">
        <f t="shared" si="1"/>
        <v>0</v>
      </c>
      <c r="U43" s="7"/>
      <c r="V43" s="8">
        <v>0</v>
      </c>
      <c r="W43" s="8">
        <f t="shared" si="2"/>
        <v>0</v>
      </c>
      <c r="X43" s="7"/>
      <c r="Y43" s="8">
        <v>0</v>
      </c>
      <c r="Z43" s="8">
        <f t="shared" si="3"/>
        <v>0</v>
      </c>
      <c r="AA43" s="9">
        <f t="shared" si="0"/>
        <v>0</v>
      </c>
      <c r="AB43" s="5" t="s">
        <v>34</v>
      </c>
      <c r="AC43" s="4" t="s">
        <v>124</v>
      </c>
      <c r="AD43" s="150"/>
    </row>
    <row r="44" spans="2:30" ht="70.2" customHeight="1">
      <c r="B44" s="153">
        <v>1</v>
      </c>
      <c r="C44" s="5" t="s">
        <v>44</v>
      </c>
      <c r="D44" s="5" t="s">
        <v>45</v>
      </c>
      <c r="E44" s="11">
        <v>2</v>
      </c>
      <c r="F44" s="4" t="s">
        <v>70</v>
      </c>
      <c r="G44" s="178" t="s">
        <v>424</v>
      </c>
      <c r="H44" s="4" t="s">
        <v>125</v>
      </c>
      <c r="I44" s="4" t="s">
        <v>72</v>
      </c>
      <c r="J44" s="4" t="s">
        <v>126</v>
      </c>
      <c r="K44" s="4" t="s">
        <v>88</v>
      </c>
      <c r="L44" s="102" t="s">
        <v>364</v>
      </c>
      <c r="M44" s="131" t="s">
        <v>293</v>
      </c>
      <c r="N44" s="5" t="s">
        <v>66</v>
      </c>
      <c r="O44" s="5" t="s">
        <v>127</v>
      </c>
      <c r="P44" s="6" t="s">
        <v>40</v>
      </c>
      <c r="Q44" s="5" t="s">
        <v>67</v>
      </c>
      <c r="R44" s="7">
        <v>640</v>
      </c>
      <c r="S44" s="8">
        <v>25</v>
      </c>
      <c r="T44" s="147">
        <f>R44*S44</f>
        <v>16000</v>
      </c>
      <c r="U44" s="7">
        <v>640</v>
      </c>
      <c r="V44" s="8">
        <v>25</v>
      </c>
      <c r="W44" s="147">
        <f>U44*V44</f>
        <v>16000</v>
      </c>
      <c r="X44" s="7">
        <v>640</v>
      </c>
      <c r="Y44" s="8">
        <v>25</v>
      </c>
      <c r="Z44" s="147">
        <f>X44*Y44</f>
        <v>16000</v>
      </c>
      <c r="AA44" s="171">
        <f t="shared" si="0"/>
        <v>48000</v>
      </c>
      <c r="AB44" s="5" t="s">
        <v>41</v>
      </c>
      <c r="AC44" s="109" t="s">
        <v>128</v>
      </c>
      <c r="AD44" s="150"/>
    </row>
    <row r="45" spans="2:30" ht="70.2" customHeight="1">
      <c r="B45" s="152"/>
      <c r="C45" s="5" t="s">
        <v>44</v>
      </c>
      <c r="D45" s="5" t="s">
        <v>45</v>
      </c>
      <c r="E45" s="11">
        <v>2</v>
      </c>
      <c r="F45" s="4" t="s">
        <v>70</v>
      </c>
      <c r="G45" s="178" t="s">
        <v>424</v>
      </c>
      <c r="H45" s="4" t="s">
        <v>125</v>
      </c>
      <c r="I45" s="4" t="s">
        <v>72</v>
      </c>
      <c r="J45" s="4" t="s">
        <v>126</v>
      </c>
      <c r="K45" s="4" t="s">
        <v>88</v>
      </c>
      <c r="L45" s="4" t="s">
        <v>366</v>
      </c>
      <c r="M45" s="102" t="s">
        <v>293</v>
      </c>
      <c r="N45" s="5" t="s">
        <v>66</v>
      </c>
      <c r="O45" s="5" t="s">
        <v>127</v>
      </c>
      <c r="P45" s="6" t="s">
        <v>43</v>
      </c>
      <c r="Q45" s="5" t="s">
        <v>67</v>
      </c>
      <c r="R45" s="7"/>
      <c r="S45" s="8">
        <v>0</v>
      </c>
      <c r="T45" s="8">
        <f t="shared" si="1"/>
        <v>0</v>
      </c>
      <c r="U45" s="7"/>
      <c r="V45" s="8">
        <v>0</v>
      </c>
      <c r="W45" s="8">
        <f t="shared" si="2"/>
        <v>0</v>
      </c>
      <c r="X45" s="7"/>
      <c r="Y45" s="8">
        <v>0</v>
      </c>
      <c r="Z45" s="8">
        <f t="shared" si="3"/>
        <v>0</v>
      </c>
      <c r="AA45" s="9">
        <f t="shared" si="0"/>
        <v>0</v>
      </c>
      <c r="AB45" s="5" t="s">
        <v>41</v>
      </c>
      <c r="AC45" s="109" t="s">
        <v>128</v>
      </c>
      <c r="AD45" s="150"/>
    </row>
    <row r="46" spans="2:30" ht="70.2" customHeight="1">
      <c r="B46" s="153">
        <v>1</v>
      </c>
      <c r="C46" s="5" t="s">
        <v>44</v>
      </c>
      <c r="D46" s="5" t="s">
        <v>45</v>
      </c>
      <c r="E46" s="11">
        <v>2</v>
      </c>
      <c r="F46" s="4" t="s">
        <v>70</v>
      </c>
      <c r="G46" s="180" t="s">
        <v>424</v>
      </c>
      <c r="H46" s="4" t="s">
        <v>125</v>
      </c>
      <c r="I46" s="4" t="s">
        <v>72</v>
      </c>
      <c r="J46" s="4" t="s">
        <v>126</v>
      </c>
      <c r="K46" s="102" t="s">
        <v>82</v>
      </c>
      <c r="L46" s="4" t="s">
        <v>366</v>
      </c>
      <c r="M46" s="131" t="s">
        <v>389</v>
      </c>
      <c r="N46" s="5" t="s">
        <v>66</v>
      </c>
      <c r="O46" s="5" t="s">
        <v>127</v>
      </c>
      <c r="P46" s="6" t="s">
        <v>40</v>
      </c>
      <c r="Q46" s="5" t="s">
        <v>67</v>
      </c>
      <c r="R46" s="7">
        <v>26</v>
      </c>
      <c r="S46" s="8">
        <v>60</v>
      </c>
      <c r="T46" s="147">
        <f>R46*S46</f>
        <v>1560</v>
      </c>
      <c r="U46" s="7">
        <v>26</v>
      </c>
      <c r="V46" s="8">
        <v>60</v>
      </c>
      <c r="W46" s="147">
        <f>U46*V46</f>
        <v>1560</v>
      </c>
      <c r="X46" s="7">
        <v>26</v>
      </c>
      <c r="Y46" s="8">
        <v>60</v>
      </c>
      <c r="Z46" s="147">
        <f>X46*Y46</f>
        <v>1560</v>
      </c>
      <c r="AA46" s="171">
        <f t="shared" si="0"/>
        <v>4680</v>
      </c>
      <c r="AB46" s="5" t="s">
        <v>41</v>
      </c>
      <c r="AC46" s="110" t="s">
        <v>398</v>
      </c>
      <c r="AD46" s="151"/>
    </row>
    <row r="47" spans="2:30" ht="70.2" customHeight="1">
      <c r="B47" s="152"/>
      <c r="C47" s="5" t="s">
        <v>44</v>
      </c>
      <c r="D47" s="5" t="s">
        <v>45</v>
      </c>
      <c r="E47" s="11">
        <v>2</v>
      </c>
      <c r="F47" s="4" t="s">
        <v>70</v>
      </c>
      <c r="G47" s="180" t="s">
        <v>424</v>
      </c>
      <c r="H47" s="4" t="s">
        <v>125</v>
      </c>
      <c r="I47" s="4" t="s">
        <v>72</v>
      </c>
      <c r="J47" s="4" t="s">
        <v>126</v>
      </c>
      <c r="K47" s="102" t="s">
        <v>82</v>
      </c>
      <c r="L47" s="4" t="s">
        <v>366</v>
      </c>
      <c r="M47" s="102" t="s">
        <v>129</v>
      </c>
      <c r="N47" s="5" t="s">
        <v>66</v>
      </c>
      <c r="O47" s="5" t="s">
        <v>127</v>
      </c>
      <c r="P47" s="6" t="s">
        <v>43</v>
      </c>
      <c r="Q47" s="5" t="s">
        <v>67</v>
      </c>
      <c r="R47" s="7"/>
      <c r="S47" s="8">
        <v>0</v>
      </c>
      <c r="T47" s="8">
        <f t="shared" si="1"/>
        <v>0</v>
      </c>
      <c r="U47" s="7"/>
      <c r="V47" s="8">
        <v>0</v>
      </c>
      <c r="W47" s="8">
        <f t="shared" si="2"/>
        <v>0</v>
      </c>
      <c r="X47" s="7"/>
      <c r="Y47" s="8">
        <v>0</v>
      </c>
      <c r="Z47" s="8">
        <f t="shared" si="3"/>
        <v>0</v>
      </c>
      <c r="AA47" s="9">
        <f t="shared" si="0"/>
        <v>0</v>
      </c>
      <c r="AB47" s="5" t="s">
        <v>41</v>
      </c>
      <c r="AC47" s="110" t="s">
        <v>130</v>
      </c>
      <c r="AD47" s="150"/>
    </row>
    <row r="48" spans="2:30" ht="70.2" customHeight="1">
      <c r="B48" s="153">
        <v>1</v>
      </c>
      <c r="C48" s="5" t="s">
        <v>169</v>
      </c>
      <c r="D48" s="5" t="s">
        <v>170</v>
      </c>
      <c r="E48" s="5">
        <v>11</v>
      </c>
      <c r="F48" s="4" t="s">
        <v>70</v>
      </c>
      <c r="G48" s="4" t="s">
        <v>427</v>
      </c>
      <c r="H48" s="4" t="s">
        <v>125</v>
      </c>
      <c r="I48" s="4" t="s">
        <v>131</v>
      </c>
      <c r="J48" s="4" t="s">
        <v>126</v>
      </c>
      <c r="K48" s="5" t="s">
        <v>132</v>
      </c>
      <c r="L48" s="4" t="s">
        <v>364</v>
      </c>
      <c r="M48" s="132" t="s">
        <v>133</v>
      </c>
      <c r="N48" s="5" t="s">
        <v>134</v>
      </c>
      <c r="O48" s="5" t="s">
        <v>127</v>
      </c>
      <c r="P48" s="6" t="s">
        <v>40</v>
      </c>
      <c r="Q48" s="19" t="s">
        <v>35</v>
      </c>
      <c r="R48" s="7">
        <v>1</v>
      </c>
      <c r="S48" s="8">
        <v>15700</v>
      </c>
      <c r="T48" s="147">
        <f>R48*S48</f>
        <v>15700</v>
      </c>
      <c r="U48" s="7">
        <v>1</v>
      </c>
      <c r="V48" s="8">
        <v>16171</v>
      </c>
      <c r="W48" s="147">
        <f>U48*V48</f>
        <v>16171</v>
      </c>
      <c r="X48" s="7">
        <v>1</v>
      </c>
      <c r="Y48" s="8">
        <v>16656.13</v>
      </c>
      <c r="Z48" s="147">
        <f>X48*Y48</f>
        <v>16656.13</v>
      </c>
      <c r="AA48" s="171">
        <f t="shared" si="0"/>
        <v>48527.130000000005</v>
      </c>
      <c r="AB48" s="19" t="s">
        <v>34</v>
      </c>
      <c r="AC48" s="20" t="s">
        <v>135</v>
      </c>
      <c r="AD48" s="150"/>
    </row>
    <row r="49" spans="2:30" ht="139.19999999999999" customHeight="1">
      <c r="B49" s="152"/>
      <c r="C49" s="5" t="s">
        <v>44</v>
      </c>
      <c r="D49" s="5" t="s">
        <v>45</v>
      </c>
      <c r="E49" s="11">
        <v>10</v>
      </c>
      <c r="F49" s="4" t="s">
        <v>70</v>
      </c>
      <c r="G49" s="180" t="s">
        <v>424</v>
      </c>
      <c r="H49" s="4" t="s">
        <v>125</v>
      </c>
      <c r="I49" s="4" t="s">
        <v>72</v>
      </c>
      <c r="J49" s="4" t="s">
        <v>126</v>
      </c>
      <c r="K49" s="4" t="s">
        <v>88</v>
      </c>
      <c r="L49" s="4" t="s">
        <v>364</v>
      </c>
      <c r="M49" s="131" t="s">
        <v>396</v>
      </c>
      <c r="N49" s="5" t="s">
        <v>137</v>
      </c>
      <c r="O49" s="5" t="s">
        <v>127</v>
      </c>
      <c r="P49" s="6" t="s">
        <v>43</v>
      </c>
      <c r="Q49" s="5"/>
      <c r="R49" s="7">
        <v>1</v>
      </c>
      <c r="S49" s="8">
        <v>15998.6</v>
      </c>
      <c r="T49" s="8">
        <f t="shared" si="1"/>
        <v>15998.6</v>
      </c>
      <c r="U49" s="7">
        <v>1</v>
      </c>
      <c r="V49" s="8">
        <v>15998.6</v>
      </c>
      <c r="W49" s="8">
        <f t="shared" si="2"/>
        <v>15998.6</v>
      </c>
      <c r="X49" s="7">
        <v>1</v>
      </c>
      <c r="Y49" s="8">
        <v>16000</v>
      </c>
      <c r="Z49" s="8">
        <f t="shared" si="3"/>
        <v>16000</v>
      </c>
      <c r="AA49" s="9">
        <f t="shared" si="0"/>
        <v>47997.2</v>
      </c>
      <c r="AB49" s="5" t="s">
        <v>41</v>
      </c>
      <c r="AC49" s="20" t="s">
        <v>138</v>
      </c>
      <c r="AD49" s="176">
        <f>AA49</f>
        <v>47997.2</v>
      </c>
    </row>
    <row r="50" spans="2:30" ht="103.2" customHeight="1">
      <c r="B50" s="152"/>
      <c r="C50" s="5" t="s">
        <v>44</v>
      </c>
      <c r="D50" s="5" t="s">
        <v>45</v>
      </c>
      <c r="E50" s="11">
        <v>10</v>
      </c>
      <c r="F50" s="4" t="s">
        <v>70</v>
      </c>
      <c r="G50" s="4" t="s">
        <v>424</v>
      </c>
      <c r="H50" s="4" t="s">
        <v>125</v>
      </c>
      <c r="I50" s="4" t="s">
        <v>72</v>
      </c>
      <c r="J50" s="4" t="s">
        <v>126</v>
      </c>
      <c r="K50" s="4" t="s">
        <v>88</v>
      </c>
      <c r="L50" s="4" t="s">
        <v>364</v>
      </c>
      <c r="M50" s="102" t="s">
        <v>136</v>
      </c>
      <c r="N50" s="5" t="s">
        <v>137</v>
      </c>
      <c r="O50" s="5" t="s">
        <v>127</v>
      </c>
      <c r="P50" s="6" t="s">
        <v>43</v>
      </c>
      <c r="Q50" s="5"/>
      <c r="R50" s="7"/>
      <c r="S50" s="8">
        <v>0</v>
      </c>
      <c r="T50" s="8">
        <f t="shared" si="1"/>
        <v>0</v>
      </c>
      <c r="U50" s="7"/>
      <c r="V50" s="8">
        <v>0</v>
      </c>
      <c r="W50" s="8">
        <f t="shared" si="2"/>
        <v>0</v>
      </c>
      <c r="X50" s="7"/>
      <c r="Y50" s="8">
        <v>0</v>
      </c>
      <c r="Z50" s="8">
        <f t="shared" si="3"/>
        <v>0</v>
      </c>
      <c r="AA50" s="9">
        <f t="shared" si="0"/>
        <v>0</v>
      </c>
      <c r="AB50" s="5" t="s">
        <v>41</v>
      </c>
      <c r="AC50" s="20" t="s">
        <v>138</v>
      </c>
      <c r="AD50" s="150"/>
    </row>
    <row r="51" spans="2:30" ht="95.4" customHeight="1">
      <c r="B51" s="152"/>
      <c r="C51" s="5" t="s">
        <v>44</v>
      </c>
      <c r="D51" s="5" t="s">
        <v>45</v>
      </c>
      <c r="E51" s="11">
        <v>2</v>
      </c>
      <c r="F51" s="4" t="s">
        <v>70</v>
      </c>
      <c r="G51" s="181" t="s">
        <v>423</v>
      </c>
      <c r="H51" s="4" t="s">
        <v>125</v>
      </c>
      <c r="I51" s="4" t="s">
        <v>72</v>
      </c>
      <c r="J51" s="4" t="s">
        <v>126</v>
      </c>
      <c r="K51" s="4" t="s">
        <v>88</v>
      </c>
      <c r="L51" s="4" t="s">
        <v>364</v>
      </c>
      <c r="M51" s="131" t="s">
        <v>297</v>
      </c>
      <c r="N51" s="5" t="s">
        <v>139</v>
      </c>
      <c r="O51" s="5" t="s">
        <v>127</v>
      </c>
      <c r="P51" s="6" t="s">
        <v>43</v>
      </c>
      <c r="Q51" s="5" t="s">
        <v>67</v>
      </c>
      <c r="R51" s="7">
        <f>300-50</f>
        <v>250</v>
      </c>
      <c r="S51" s="8">
        <v>30</v>
      </c>
      <c r="T51" s="8">
        <f t="shared" si="1"/>
        <v>7500</v>
      </c>
      <c r="U51" s="7">
        <v>250</v>
      </c>
      <c r="V51" s="8">
        <v>30</v>
      </c>
      <c r="W51" s="8">
        <f t="shared" si="2"/>
        <v>7500</v>
      </c>
      <c r="X51" s="7">
        <v>250</v>
      </c>
      <c r="Y51" s="8">
        <v>30</v>
      </c>
      <c r="Z51" s="8">
        <f t="shared" si="3"/>
        <v>7500</v>
      </c>
      <c r="AA51" s="9">
        <f t="shared" si="0"/>
        <v>22500</v>
      </c>
      <c r="AB51" s="5" t="s">
        <v>41</v>
      </c>
      <c r="AC51" s="110" t="s">
        <v>299</v>
      </c>
      <c r="AD51" s="176">
        <f>AA51</f>
        <v>22500</v>
      </c>
    </row>
    <row r="52" spans="2:30" ht="70.2" customHeight="1">
      <c r="B52" s="152"/>
      <c r="C52" s="5" t="s">
        <v>44</v>
      </c>
      <c r="D52" s="5" t="s">
        <v>45</v>
      </c>
      <c r="E52" s="11">
        <v>2</v>
      </c>
      <c r="F52" s="4" t="s">
        <v>70</v>
      </c>
      <c r="G52" s="181" t="s">
        <v>423</v>
      </c>
      <c r="H52" s="4" t="s">
        <v>125</v>
      </c>
      <c r="I52" s="4" t="s">
        <v>72</v>
      </c>
      <c r="J52" s="4" t="s">
        <v>126</v>
      </c>
      <c r="K52" s="4" t="s">
        <v>88</v>
      </c>
      <c r="L52" s="4" t="s">
        <v>364</v>
      </c>
      <c r="M52" s="102" t="s">
        <v>297</v>
      </c>
      <c r="N52" s="5" t="s">
        <v>139</v>
      </c>
      <c r="O52" s="5" t="s">
        <v>127</v>
      </c>
      <c r="P52" s="6" t="s">
        <v>43</v>
      </c>
      <c r="Q52" s="5" t="s">
        <v>67</v>
      </c>
      <c r="R52" s="7"/>
      <c r="S52" s="8">
        <v>0</v>
      </c>
      <c r="T52" s="8">
        <f t="shared" si="1"/>
        <v>0</v>
      </c>
      <c r="U52" s="7"/>
      <c r="V52" s="8">
        <v>0</v>
      </c>
      <c r="W52" s="8">
        <f t="shared" si="2"/>
        <v>0</v>
      </c>
      <c r="X52" s="7"/>
      <c r="Y52" s="8">
        <v>0</v>
      </c>
      <c r="Z52" s="8">
        <f t="shared" si="3"/>
        <v>0</v>
      </c>
      <c r="AA52" s="9">
        <f t="shared" si="0"/>
        <v>0</v>
      </c>
      <c r="AB52" s="5" t="s">
        <v>41</v>
      </c>
      <c r="AC52" s="110" t="s">
        <v>140</v>
      </c>
      <c r="AD52" s="150"/>
    </row>
    <row r="53" spans="2:30" ht="70.2" customHeight="1">
      <c r="B53" s="152"/>
      <c r="C53" s="5" t="s">
        <v>44</v>
      </c>
      <c r="D53" s="5" t="s">
        <v>45</v>
      </c>
      <c r="E53" s="11">
        <v>10</v>
      </c>
      <c r="F53" s="4" t="s">
        <v>70</v>
      </c>
      <c r="G53" s="181" t="s">
        <v>423</v>
      </c>
      <c r="H53" s="4" t="s">
        <v>125</v>
      </c>
      <c r="I53" s="4" t="s">
        <v>72</v>
      </c>
      <c r="J53" s="4" t="s">
        <v>126</v>
      </c>
      <c r="K53" s="4" t="s">
        <v>88</v>
      </c>
      <c r="L53" s="4" t="s">
        <v>364</v>
      </c>
      <c r="M53" s="131" t="s">
        <v>397</v>
      </c>
      <c r="N53" s="5" t="s">
        <v>142</v>
      </c>
      <c r="O53" s="5" t="s">
        <v>127</v>
      </c>
      <c r="P53" s="6" t="s">
        <v>43</v>
      </c>
      <c r="Q53" s="5" t="s">
        <v>67</v>
      </c>
      <c r="R53" s="7">
        <v>250</v>
      </c>
      <c r="S53" s="8">
        <v>19.2</v>
      </c>
      <c r="T53" s="8">
        <f t="shared" si="1"/>
        <v>4800</v>
      </c>
      <c r="U53" s="7">
        <v>250</v>
      </c>
      <c r="V53" s="8">
        <v>19.2</v>
      </c>
      <c r="W53" s="8">
        <f t="shared" si="2"/>
        <v>4800</v>
      </c>
      <c r="X53" s="7">
        <v>250</v>
      </c>
      <c r="Y53" s="8">
        <v>19.2</v>
      </c>
      <c r="Z53" s="8">
        <f t="shared" si="3"/>
        <v>4800</v>
      </c>
      <c r="AA53" s="9">
        <f t="shared" si="0"/>
        <v>14400</v>
      </c>
      <c r="AB53" s="5" t="s">
        <v>41</v>
      </c>
      <c r="AC53" s="109" t="s">
        <v>300</v>
      </c>
      <c r="AD53" s="176">
        <f>AA53</f>
        <v>14400</v>
      </c>
    </row>
    <row r="54" spans="2:30" ht="147" customHeight="1">
      <c r="B54" s="152"/>
      <c r="C54" s="5" t="s">
        <v>44</v>
      </c>
      <c r="D54" s="5" t="s">
        <v>45</v>
      </c>
      <c r="E54" s="11">
        <v>10</v>
      </c>
      <c r="F54" s="4" t="s">
        <v>70</v>
      </c>
      <c r="G54" s="182" t="s">
        <v>423</v>
      </c>
      <c r="H54" s="4" t="s">
        <v>125</v>
      </c>
      <c r="I54" s="4" t="s">
        <v>72</v>
      </c>
      <c r="J54" s="4" t="s">
        <v>126</v>
      </c>
      <c r="K54" s="4" t="s">
        <v>88</v>
      </c>
      <c r="L54" s="4" t="s">
        <v>364</v>
      </c>
      <c r="M54" s="102" t="s">
        <v>141</v>
      </c>
      <c r="N54" s="5" t="s">
        <v>142</v>
      </c>
      <c r="O54" s="5" t="s">
        <v>127</v>
      </c>
      <c r="P54" s="6" t="s">
        <v>43</v>
      </c>
      <c r="Q54" s="5"/>
      <c r="R54" s="7">
        <v>0</v>
      </c>
      <c r="S54" s="8">
        <v>0</v>
      </c>
      <c r="T54" s="8">
        <f t="shared" si="1"/>
        <v>0</v>
      </c>
      <c r="U54" s="7"/>
      <c r="V54" s="8">
        <v>0</v>
      </c>
      <c r="W54" s="8">
        <f t="shared" si="2"/>
        <v>0</v>
      </c>
      <c r="X54" s="7"/>
      <c r="Y54" s="8">
        <v>0</v>
      </c>
      <c r="Z54" s="8">
        <f t="shared" si="3"/>
        <v>0</v>
      </c>
      <c r="AA54" s="9">
        <f t="shared" si="0"/>
        <v>0</v>
      </c>
      <c r="AB54" s="5" t="s">
        <v>41</v>
      </c>
      <c r="AC54" s="109" t="s">
        <v>143</v>
      </c>
      <c r="AD54" s="150"/>
    </row>
    <row r="55" spans="2:30" ht="70.2" customHeight="1">
      <c r="B55" s="152"/>
      <c r="C55" s="5" t="s">
        <v>144</v>
      </c>
      <c r="D55" s="5" t="s">
        <v>145</v>
      </c>
      <c r="E55" s="11">
        <v>10</v>
      </c>
      <c r="F55" s="4" t="s">
        <v>70</v>
      </c>
      <c r="G55" s="182" t="s">
        <v>423</v>
      </c>
      <c r="H55" s="3" t="s">
        <v>146</v>
      </c>
      <c r="I55" s="20" t="s">
        <v>147</v>
      </c>
      <c r="J55" s="5" t="s">
        <v>148</v>
      </c>
      <c r="K55" s="111" t="s">
        <v>82</v>
      </c>
      <c r="L55" s="112" t="s">
        <v>364</v>
      </c>
      <c r="M55" s="102" t="s">
        <v>303</v>
      </c>
      <c r="N55" s="5" t="s">
        <v>149</v>
      </c>
      <c r="O55" s="5" t="s">
        <v>127</v>
      </c>
      <c r="P55" s="6" t="s">
        <v>43</v>
      </c>
      <c r="Q55" s="11" t="s">
        <v>35</v>
      </c>
      <c r="R55" s="7">
        <v>1</v>
      </c>
      <c r="S55" s="8">
        <v>9995</v>
      </c>
      <c r="T55" s="8">
        <f t="shared" si="1"/>
        <v>9995</v>
      </c>
      <c r="U55" s="7">
        <v>1</v>
      </c>
      <c r="V55" s="8">
        <v>9995</v>
      </c>
      <c r="W55" s="8">
        <f t="shared" si="2"/>
        <v>9995</v>
      </c>
      <c r="X55" s="7">
        <v>1</v>
      </c>
      <c r="Y55" s="8">
        <v>9995</v>
      </c>
      <c r="Z55" s="8">
        <f t="shared" si="3"/>
        <v>9995</v>
      </c>
      <c r="AA55" s="9">
        <f t="shared" si="0"/>
        <v>29985</v>
      </c>
      <c r="AB55" s="5" t="s">
        <v>41</v>
      </c>
      <c r="AC55" s="105" t="s">
        <v>150</v>
      </c>
      <c r="AD55" s="150"/>
    </row>
    <row r="56" spans="2:30" ht="70.2" customHeight="1">
      <c r="B56" s="152"/>
      <c r="C56" s="5" t="s">
        <v>151</v>
      </c>
      <c r="D56" s="5" t="s">
        <v>152</v>
      </c>
      <c r="E56" s="11">
        <v>5</v>
      </c>
      <c r="F56" s="3" t="s">
        <v>153</v>
      </c>
      <c r="G56" s="3" t="s">
        <v>426</v>
      </c>
      <c r="H56" s="3" t="s">
        <v>154</v>
      </c>
      <c r="I56" s="4" t="s">
        <v>155</v>
      </c>
      <c r="J56" s="4" t="s">
        <v>156</v>
      </c>
      <c r="K56" s="102" t="s">
        <v>82</v>
      </c>
      <c r="L56" s="4" t="s">
        <v>367</v>
      </c>
      <c r="M56" s="102" t="s">
        <v>157</v>
      </c>
      <c r="N56" s="21" t="s">
        <v>99</v>
      </c>
      <c r="O56" s="5" t="s">
        <v>158</v>
      </c>
      <c r="P56" s="6" t="s">
        <v>52</v>
      </c>
      <c r="Q56" s="5" t="s">
        <v>35</v>
      </c>
      <c r="R56" s="7">
        <v>900</v>
      </c>
      <c r="S56" s="8">
        <v>17.75</v>
      </c>
      <c r="T56" s="8">
        <f>R56*S56</f>
        <v>15975</v>
      </c>
      <c r="U56" s="7">
        <v>900</v>
      </c>
      <c r="V56" s="8">
        <v>17.75</v>
      </c>
      <c r="W56" s="8">
        <f>U56*V56</f>
        <v>15975</v>
      </c>
      <c r="X56" s="7">
        <v>900</v>
      </c>
      <c r="Y56" s="8">
        <v>17.75</v>
      </c>
      <c r="Z56" s="8">
        <f>X56*Y56</f>
        <v>15975</v>
      </c>
      <c r="AA56" s="9">
        <f t="shared" si="0"/>
        <v>47925</v>
      </c>
      <c r="AB56" s="5" t="s">
        <v>41</v>
      </c>
      <c r="AC56" s="16" t="s">
        <v>159</v>
      </c>
      <c r="AD56" s="150"/>
    </row>
    <row r="57" spans="2:30" ht="70.2" customHeight="1">
      <c r="B57" s="152"/>
      <c r="C57" s="5" t="s">
        <v>151</v>
      </c>
      <c r="D57" s="5" t="s">
        <v>152</v>
      </c>
      <c r="E57" s="11">
        <v>5</v>
      </c>
      <c r="F57" s="3" t="s">
        <v>153</v>
      </c>
      <c r="G57" s="3" t="s">
        <v>426</v>
      </c>
      <c r="H57" s="3" t="s">
        <v>154</v>
      </c>
      <c r="I57" s="4" t="s">
        <v>155</v>
      </c>
      <c r="J57" s="4" t="s">
        <v>156</v>
      </c>
      <c r="K57" s="102" t="s">
        <v>82</v>
      </c>
      <c r="L57" s="4" t="s">
        <v>367</v>
      </c>
      <c r="M57" s="102" t="s">
        <v>157</v>
      </c>
      <c r="N57" s="21" t="s">
        <v>99</v>
      </c>
      <c r="O57" s="5" t="s">
        <v>158</v>
      </c>
      <c r="P57" s="6" t="s">
        <v>43</v>
      </c>
      <c r="Q57" s="21" t="s">
        <v>35</v>
      </c>
      <c r="R57" s="7">
        <v>0</v>
      </c>
      <c r="S57" s="8">
        <v>0</v>
      </c>
      <c r="T57" s="8">
        <f t="shared" ref="T57" si="9">R57*S57</f>
        <v>0</v>
      </c>
      <c r="U57" s="7">
        <v>0</v>
      </c>
      <c r="V57" s="8">
        <v>0</v>
      </c>
      <c r="W57" s="8">
        <f t="shared" ref="W57" si="10">+U57*V57</f>
        <v>0</v>
      </c>
      <c r="X57" s="7">
        <v>0</v>
      </c>
      <c r="Y57" s="8">
        <v>0</v>
      </c>
      <c r="Z57" s="8">
        <f t="shared" ref="Z57" si="11">+X57*Y57</f>
        <v>0</v>
      </c>
      <c r="AA57" s="9">
        <f t="shared" si="0"/>
        <v>0</v>
      </c>
      <c r="AB57" s="5" t="s">
        <v>41</v>
      </c>
      <c r="AC57" s="16" t="s">
        <v>159</v>
      </c>
      <c r="AD57" s="150"/>
    </row>
    <row r="58" spans="2:30" ht="70.2" customHeight="1">
      <c r="B58" s="153">
        <v>1</v>
      </c>
      <c r="C58" s="5" t="s">
        <v>151</v>
      </c>
      <c r="D58" s="5" t="s">
        <v>152</v>
      </c>
      <c r="E58" s="11">
        <v>5</v>
      </c>
      <c r="F58" s="3" t="s">
        <v>153</v>
      </c>
      <c r="G58" s="3" t="s">
        <v>426</v>
      </c>
      <c r="H58" s="3" t="s">
        <v>160</v>
      </c>
      <c r="I58" s="4" t="s">
        <v>155</v>
      </c>
      <c r="J58" s="4" t="s">
        <v>156</v>
      </c>
      <c r="K58" s="102" t="s">
        <v>82</v>
      </c>
      <c r="L58" s="4" t="s">
        <v>367</v>
      </c>
      <c r="M58" s="132" t="s">
        <v>161</v>
      </c>
      <c r="N58" s="21" t="s">
        <v>99</v>
      </c>
      <c r="O58" s="5" t="s">
        <v>158</v>
      </c>
      <c r="P58" s="6" t="s">
        <v>40</v>
      </c>
      <c r="Q58" s="22" t="s">
        <v>162</v>
      </c>
      <c r="R58" s="7">
        <v>20000</v>
      </c>
      <c r="S58" s="8">
        <v>0.4</v>
      </c>
      <c r="T58" s="147">
        <f>R58*S58</f>
        <v>8000</v>
      </c>
      <c r="U58" s="7">
        <v>20000</v>
      </c>
      <c r="V58" s="8">
        <v>0.4</v>
      </c>
      <c r="W58" s="147">
        <f>U58*V58</f>
        <v>8000</v>
      </c>
      <c r="X58" s="7">
        <v>20000</v>
      </c>
      <c r="Y58" s="8">
        <v>0.4</v>
      </c>
      <c r="Z58" s="147">
        <f>X58*Y58</f>
        <v>8000</v>
      </c>
      <c r="AA58" s="171">
        <f t="shared" si="0"/>
        <v>24000</v>
      </c>
      <c r="AB58" s="23" t="s">
        <v>34</v>
      </c>
      <c r="AC58" s="3" t="s">
        <v>163</v>
      </c>
      <c r="AD58" s="150"/>
    </row>
    <row r="59" spans="2:30" ht="70.2" customHeight="1">
      <c r="B59" s="152"/>
      <c r="C59" s="5" t="s">
        <v>151</v>
      </c>
      <c r="D59" s="5" t="s">
        <v>152</v>
      </c>
      <c r="E59" s="11">
        <v>5</v>
      </c>
      <c r="F59" s="3" t="s">
        <v>153</v>
      </c>
      <c r="G59" s="3" t="s">
        <v>426</v>
      </c>
      <c r="H59" s="3" t="s">
        <v>160</v>
      </c>
      <c r="I59" s="4" t="s">
        <v>155</v>
      </c>
      <c r="J59" s="4" t="s">
        <v>156</v>
      </c>
      <c r="K59" s="102" t="s">
        <v>82</v>
      </c>
      <c r="L59" s="4" t="s">
        <v>367</v>
      </c>
      <c r="M59" s="4" t="s">
        <v>161</v>
      </c>
      <c r="N59" s="21" t="s">
        <v>99</v>
      </c>
      <c r="O59" s="5" t="s">
        <v>158</v>
      </c>
      <c r="P59" s="6" t="s">
        <v>43</v>
      </c>
      <c r="Q59" s="22" t="s">
        <v>162</v>
      </c>
      <c r="R59" s="7"/>
      <c r="S59" s="8">
        <v>0</v>
      </c>
      <c r="T59" s="8">
        <f t="shared" si="1"/>
        <v>0</v>
      </c>
      <c r="U59" s="7"/>
      <c r="V59" s="8">
        <v>0</v>
      </c>
      <c r="W59" s="8">
        <f t="shared" si="2"/>
        <v>0</v>
      </c>
      <c r="X59" s="7"/>
      <c r="Y59" s="8">
        <v>0</v>
      </c>
      <c r="Z59" s="8">
        <f t="shared" si="3"/>
        <v>0</v>
      </c>
      <c r="AA59" s="9">
        <f t="shared" si="0"/>
        <v>0</v>
      </c>
      <c r="AB59" s="23" t="s">
        <v>34</v>
      </c>
      <c r="AC59" s="3" t="s">
        <v>163</v>
      </c>
      <c r="AD59" s="150"/>
    </row>
    <row r="60" spans="2:30" ht="70.2" customHeight="1">
      <c r="B60" s="152"/>
      <c r="C60" s="5" t="s">
        <v>151</v>
      </c>
      <c r="D60" s="5" t="s">
        <v>152</v>
      </c>
      <c r="E60" s="11">
        <v>5</v>
      </c>
      <c r="F60" s="3" t="s">
        <v>153</v>
      </c>
      <c r="G60" s="3" t="s">
        <v>426</v>
      </c>
      <c r="H60" s="3" t="s">
        <v>154</v>
      </c>
      <c r="I60" s="4" t="s">
        <v>155</v>
      </c>
      <c r="J60" s="5" t="s">
        <v>156</v>
      </c>
      <c r="K60" s="111" t="s">
        <v>164</v>
      </c>
      <c r="L60" s="4" t="s">
        <v>367</v>
      </c>
      <c r="M60" s="102" t="s">
        <v>165</v>
      </c>
      <c r="N60" s="5" t="s">
        <v>166</v>
      </c>
      <c r="O60" s="5"/>
      <c r="P60" s="6" t="s">
        <v>34</v>
      </c>
      <c r="Q60" s="18" t="s">
        <v>35</v>
      </c>
      <c r="R60" s="7" t="s">
        <v>167</v>
      </c>
      <c r="S60" s="8">
        <v>15000</v>
      </c>
      <c r="T60" s="8">
        <f>R60*S60</f>
        <v>15000</v>
      </c>
      <c r="U60" s="7" t="s">
        <v>167</v>
      </c>
      <c r="V60" s="8">
        <v>15000</v>
      </c>
      <c r="W60" s="8">
        <f>+U60*V60</f>
        <v>15000</v>
      </c>
      <c r="X60" s="7" t="s">
        <v>167</v>
      </c>
      <c r="Y60" s="8">
        <v>15000</v>
      </c>
      <c r="Z60" s="8">
        <f>+X60*Y60</f>
        <v>15000</v>
      </c>
      <c r="AA60" s="9">
        <f t="shared" si="0"/>
        <v>45000</v>
      </c>
      <c r="AB60" s="5" t="s">
        <v>41</v>
      </c>
      <c r="AC60" s="24" t="s">
        <v>168</v>
      </c>
      <c r="AD60" s="150"/>
    </row>
    <row r="61" spans="2:30" ht="70.2" customHeight="1">
      <c r="B61" s="153">
        <v>1</v>
      </c>
      <c r="C61" s="5" t="s">
        <v>169</v>
      </c>
      <c r="D61" s="5" t="s">
        <v>170</v>
      </c>
      <c r="E61" s="11">
        <v>11</v>
      </c>
      <c r="F61" s="4" t="s">
        <v>70</v>
      </c>
      <c r="G61" s="4" t="s">
        <v>427</v>
      </c>
      <c r="H61" s="4" t="s">
        <v>125</v>
      </c>
      <c r="I61" s="4" t="s">
        <v>131</v>
      </c>
      <c r="J61" s="5" t="s">
        <v>171</v>
      </c>
      <c r="K61" s="5" t="s">
        <v>172</v>
      </c>
      <c r="L61" s="4" t="s">
        <v>364</v>
      </c>
      <c r="M61" s="132" t="s">
        <v>173</v>
      </c>
      <c r="N61" s="5" t="s">
        <v>134</v>
      </c>
      <c r="O61" s="5" t="s">
        <v>158</v>
      </c>
      <c r="P61" s="6" t="s">
        <v>40</v>
      </c>
      <c r="Q61" s="19" t="s">
        <v>35</v>
      </c>
      <c r="R61" s="7">
        <v>1</v>
      </c>
      <c r="S61" s="8">
        <v>3407.5</v>
      </c>
      <c r="T61" s="147">
        <f t="shared" si="1"/>
        <v>3407.5</v>
      </c>
      <c r="U61" s="7">
        <v>1</v>
      </c>
      <c r="V61" s="8">
        <v>2870.8</v>
      </c>
      <c r="W61" s="147">
        <f t="shared" ref="W61:W62" si="12">U61*V61</f>
        <v>2870.8</v>
      </c>
      <c r="X61" s="7">
        <v>1</v>
      </c>
      <c r="Y61" s="8">
        <v>4553.5</v>
      </c>
      <c r="Z61" s="147">
        <f t="shared" ref="Z61:Z62" si="13">X61*Y61</f>
        <v>4553.5</v>
      </c>
      <c r="AA61" s="171">
        <f t="shared" si="0"/>
        <v>10831.8</v>
      </c>
      <c r="AB61" s="19" t="s">
        <v>34</v>
      </c>
      <c r="AC61" s="20" t="s">
        <v>174</v>
      </c>
      <c r="AD61" s="150"/>
    </row>
    <row r="62" spans="2:30" ht="70.2" customHeight="1">
      <c r="B62" s="153">
        <v>1</v>
      </c>
      <c r="C62" s="5" t="s">
        <v>169</v>
      </c>
      <c r="D62" s="5" t="s">
        <v>170</v>
      </c>
      <c r="E62" s="11">
        <v>11</v>
      </c>
      <c r="F62" s="4" t="s">
        <v>70</v>
      </c>
      <c r="G62" s="4" t="s">
        <v>427</v>
      </c>
      <c r="H62" s="4" t="s">
        <v>125</v>
      </c>
      <c r="I62" s="4" t="s">
        <v>131</v>
      </c>
      <c r="J62" s="5" t="s">
        <v>171</v>
      </c>
      <c r="K62" s="5" t="s">
        <v>172</v>
      </c>
      <c r="L62" s="4" t="s">
        <v>364</v>
      </c>
      <c r="M62" s="132" t="s">
        <v>175</v>
      </c>
      <c r="N62" s="5" t="s">
        <v>134</v>
      </c>
      <c r="O62" s="5" t="s">
        <v>158</v>
      </c>
      <c r="P62" s="6" t="s">
        <v>40</v>
      </c>
      <c r="Q62" s="19" t="s">
        <v>35</v>
      </c>
      <c r="R62" s="7">
        <v>1</v>
      </c>
      <c r="S62" s="8">
        <v>13950</v>
      </c>
      <c r="T62" s="147">
        <f t="shared" si="1"/>
        <v>13950</v>
      </c>
      <c r="U62" s="7">
        <v>1</v>
      </c>
      <c r="V62" s="8">
        <v>19285.5</v>
      </c>
      <c r="W62" s="147">
        <f t="shared" si="12"/>
        <v>19285.5</v>
      </c>
      <c r="X62" s="7">
        <v>1</v>
      </c>
      <c r="Y62" s="8">
        <v>22262</v>
      </c>
      <c r="Z62" s="147">
        <f t="shared" si="13"/>
        <v>22262</v>
      </c>
      <c r="AA62" s="171">
        <f t="shared" si="0"/>
        <v>55497.5</v>
      </c>
      <c r="AB62" s="19" t="s">
        <v>34</v>
      </c>
      <c r="AC62" s="20" t="s">
        <v>176</v>
      </c>
      <c r="AD62" s="150"/>
    </row>
    <row r="63" spans="2:30" ht="70.2" customHeight="1">
      <c r="B63" s="152"/>
      <c r="C63" s="5" t="s">
        <v>78</v>
      </c>
      <c r="D63" s="5" t="s">
        <v>79</v>
      </c>
      <c r="E63" s="11">
        <v>10</v>
      </c>
      <c r="F63" s="4" t="s">
        <v>70</v>
      </c>
      <c r="G63" s="4" t="s">
        <v>429</v>
      </c>
      <c r="H63" s="4" t="s">
        <v>177</v>
      </c>
      <c r="I63" s="4" t="s">
        <v>178</v>
      </c>
      <c r="J63" s="5" t="s">
        <v>281</v>
      </c>
      <c r="K63" s="5" t="s">
        <v>179</v>
      </c>
      <c r="L63" s="4" t="s">
        <v>364</v>
      </c>
      <c r="M63" s="102" t="s">
        <v>180</v>
      </c>
      <c r="N63" s="5" t="s">
        <v>181</v>
      </c>
      <c r="O63" s="5" t="s">
        <v>127</v>
      </c>
      <c r="P63" s="6" t="s">
        <v>52</v>
      </c>
      <c r="Q63" s="19" t="s">
        <v>35</v>
      </c>
      <c r="R63" s="7" t="s">
        <v>167</v>
      </c>
      <c r="S63" s="8">
        <v>20000</v>
      </c>
      <c r="T63" s="8">
        <f>R63*S63</f>
        <v>20000</v>
      </c>
      <c r="U63" s="7" t="s">
        <v>167</v>
      </c>
      <c r="V63" s="8">
        <v>0</v>
      </c>
      <c r="W63" s="8">
        <f>U63*V63</f>
        <v>0</v>
      </c>
      <c r="X63" s="7">
        <v>1</v>
      </c>
      <c r="Y63" s="8">
        <v>0</v>
      </c>
      <c r="Z63" s="8">
        <f>X63*Y63</f>
        <v>0</v>
      </c>
      <c r="AA63" s="9">
        <f t="shared" si="0"/>
        <v>20000</v>
      </c>
      <c r="AB63" s="5" t="s">
        <v>41</v>
      </c>
      <c r="AC63" s="24" t="s">
        <v>182</v>
      </c>
      <c r="AD63" s="150"/>
    </row>
    <row r="64" spans="2:30" ht="70.2" customHeight="1">
      <c r="B64" s="152"/>
      <c r="C64" s="5" t="s">
        <v>144</v>
      </c>
      <c r="D64" s="5" t="s">
        <v>145</v>
      </c>
      <c r="E64" s="11">
        <v>3</v>
      </c>
      <c r="F64" s="4" t="s">
        <v>153</v>
      </c>
      <c r="G64" s="4" t="s">
        <v>428</v>
      </c>
      <c r="H64" s="4" t="s">
        <v>183</v>
      </c>
      <c r="I64" s="4" t="s">
        <v>184</v>
      </c>
      <c r="J64" s="4" t="s">
        <v>185</v>
      </c>
      <c r="K64" s="102" t="s">
        <v>82</v>
      </c>
      <c r="L64" s="102" t="s">
        <v>364</v>
      </c>
      <c r="M64" s="131" t="s">
        <v>395</v>
      </c>
      <c r="N64" s="5" t="s">
        <v>66</v>
      </c>
      <c r="O64" s="5" t="s">
        <v>158</v>
      </c>
      <c r="P64" s="6" t="s">
        <v>43</v>
      </c>
      <c r="Q64" s="19" t="s">
        <v>35</v>
      </c>
      <c r="R64" s="7">
        <v>1</v>
      </c>
      <c r="S64" s="8">
        <v>0</v>
      </c>
      <c r="T64" s="8">
        <f t="shared" si="1"/>
        <v>0</v>
      </c>
      <c r="U64" s="7">
        <v>1</v>
      </c>
      <c r="V64" s="8">
        <v>25000</v>
      </c>
      <c r="W64" s="8">
        <f t="shared" si="2"/>
        <v>25000</v>
      </c>
      <c r="X64" s="7">
        <v>1</v>
      </c>
      <c r="Y64" s="8">
        <v>25000</v>
      </c>
      <c r="Z64" s="8">
        <f t="shared" si="3"/>
        <v>25000</v>
      </c>
      <c r="AA64" s="9">
        <f t="shared" si="0"/>
        <v>50000</v>
      </c>
      <c r="AB64" s="5" t="s">
        <v>41</v>
      </c>
      <c r="AC64" s="16" t="s">
        <v>187</v>
      </c>
      <c r="AD64" s="176">
        <f>AA64</f>
        <v>50000</v>
      </c>
    </row>
    <row r="65" spans="2:30" ht="70.2" customHeight="1">
      <c r="B65" s="152"/>
      <c r="C65" s="5" t="s">
        <v>144</v>
      </c>
      <c r="D65" s="5" t="s">
        <v>145</v>
      </c>
      <c r="E65" s="11">
        <v>3</v>
      </c>
      <c r="F65" s="4" t="s">
        <v>153</v>
      </c>
      <c r="G65" s="4" t="s">
        <v>428</v>
      </c>
      <c r="H65" s="4" t="s">
        <v>183</v>
      </c>
      <c r="I65" s="4" t="s">
        <v>184</v>
      </c>
      <c r="J65" s="4" t="s">
        <v>185</v>
      </c>
      <c r="K65" s="102" t="s">
        <v>82</v>
      </c>
      <c r="L65" s="102" t="s">
        <v>364</v>
      </c>
      <c r="M65" s="102" t="s">
        <v>186</v>
      </c>
      <c r="N65" s="5" t="s">
        <v>66</v>
      </c>
      <c r="O65" s="5" t="s">
        <v>158</v>
      </c>
      <c r="P65" s="6" t="s">
        <v>43</v>
      </c>
      <c r="Q65" s="19" t="s">
        <v>35</v>
      </c>
      <c r="R65" s="7">
        <v>0</v>
      </c>
      <c r="S65" s="8"/>
      <c r="T65" s="8">
        <f t="shared" si="1"/>
        <v>0</v>
      </c>
      <c r="U65" s="7"/>
      <c r="V65" s="8">
        <v>0</v>
      </c>
      <c r="W65" s="8">
        <f t="shared" si="2"/>
        <v>0</v>
      </c>
      <c r="X65" s="7"/>
      <c r="Y65" s="8">
        <v>0</v>
      </c>
      <c r="Z65" s="8">
        <f t="shared" si="3"/>
        <v>0</v>
      </c>
      <c r="AA65" s="9">
        <f t="shared" si="0"/>
        <v>0</v>
      </c>
      <c r="AB65" s="5" t="s">
        <v>41</v>
      </c>
      <c r="AC65" s="16" t="s">
        <v>187</v>
      </c>
      <c r="AD65" s="150"/>
    </row>
    <row r="66" spans="2:30" ht="70.2" customHeight="1">
      <c r="B66" s="152"/>
      <c r="C66" s="5" t="s">
        <v>169</v>
      </c>
      <c r="D66" s="5" t="s">
        <v>170</v>
      </c>
      <c r="E66" s="5">
        <v>3</v>
      </c>
      <c r="F66" s="4" t="s">
        <v>153</v>
      </c>
      <c r="G66" s="4" t="s">
        <v>430</v>
      </c>
      <c r="H66" s="4" t="s">
        <v>183</v>
      </c>
      <c r="I66" s="4" t="s">
        <v>189</v>
      </c>
      <c r="J66" s="5" t="s">
        <v>185</v>
      </c>
      <c r="K66" s="111" t="s">
        <v>82</v>
      </c>
      <c r="L66" s="102" t="s">
        <v>364</v>
      </c>
      <c r="M66" s="102" t="s">
        <v>440</v>
      </c>
      <c r="N66" s="5" t="s">
        <v>95</v>
      </c>
      <c r="O66" s="5"/>
      <c r="P66" s="6" t="s">
        <v>52</v>
      </c>
      <c r="Q66" s="19" t="s">
        <v>35</v>
      </c>
      <c r="R66" s="7">
        <v>1</v>
      </c>
      <c r="S66" s="8">
        <v>45000</v>
      </c>
      <c r="T66" s="8">
        <f>R66*S66</f>
        <v>45000</v>
      </c>
      <c r="U66" s="7">
        <v>1</v>
      </c>
      <c r="V66" s="8">
        <v>0</v>
      </c>
      <c r="W66" s="8">
        <f>U66*V66</f>
        <v>0</v>
      </c>
      <c r="X66" s="7">
        <v>0</v>
      </c>
      <c r="Y66" s="8">
        <v>0</v>
      </c>
      <c r="Z66" s="8">
        <f>X66*Y66</f>
        <v>0</v>
      </c>
      <c r="AA66" s="9">
        <f t="shared" si="0"/>
        <v>45000</v>
      </c>
      <c r="AB66" s="5" t="s">
        <v>41</v>
      </c>
      <c r="AC66" s="16" t="s">
        <v>304</v>
      </c>
      <c r="AD66" s="150"/>
    </row>
    <row r="67" spans="2:30" ht="70.2" customHeight="1">
      <c r="B67" s="152"/>
      <c r="C67" s="5" t="s">
        <v>169</v>
      </c>
      <c r="D67" s="5" t="s">
        <v>170</v>
      </c>
      <c r="E67" s="5">
        <v>3</v>
      </c>
      <c r="F67" s="4" t="s">
        <v>153</v>
      </c>
      <c r="G67" s="4" t="s">
        <v>430</v>
      </c>
      <c r="H67" s="4" t="s">
        <v>183</v>
      </c>
      <c r="I67" s="4" t="s">
        <v>189</v>
      </c>
      <c r="J67" s="5" t="s">
        <v>185</v>
      </c>
      <c r="K67" s="111" t="s">
        <v>82</v>
      </c>
      <c r="L67" s="102" t="s">
        <v>364</v>
      </c>
      <c r="M67" s="102" t="s">
        <v>445</v>
      </c>
      <c r="N67" s="5" t="s">
        <v>442</v>
      </c>
      <c r="O67" s="5"/>
      <c r="P67" s="6" t="s">
        <v>43</v>
      </c>
      <c r="Q67" s="19" t="s">
        <v>35</v>
      </c>
      <c r="R67" s="7">
        <v>1</v>
      </c>
      <c r="S67" s="8">
        <v>0</v>
      </c>
      <c r="T67" s="8">
        <f>R67*S67</f>
        <v>0</v>
      </c>
      <c r="U67" s="7">
        <v>1</v>
      </c>
      <c r="V67" s="8">
        <v>90400</v>
      </c>
      <c r="W67" s="8">
        <f>U67*V67</f>
        <v>90400</v>
      </c>
      <c r="X67" s="7">
        <v>0</v>
      </c>
      <c r="Y67" s="8">
        <v>0</v>
      </c>
      <c r="Z67" s="8">
        <f>X67*Y67</f>
        <v>0</v>
      </c>
      <c r="AA67" s="9">
        <f t="shared" ref="AA67" si="14">+T67+W67+Z67</f>
        <v>90400</v>
      </c>
      <c r="AB67" s="5" t="s">
        <v>41</v>
      </c>
      <c r="AC67" s="16" t="s">
        <v>304</v>
      </c>
      <c r="AD67" s="150"/>
    </row>
    <row r="68" spans="2:30" ht="70.2" customHeight="1">
      <c r="B68" s="153">
        <v>1</v>
      </c>
      <c r="C68" s="5" t="s">
        <v>169</v>
      </c>
      <c r="D68" s="5" t="s">
        <v>170</v>
      </c>
      <c r="E68" s="11">
        <v>2</v>
      </c>
      <c r="F68" s="4" t="s">
        <v>153</v>
      </c>
      <c r="G68" s="4" t="s">
        <v>427</v>
      </c>
      <c r="H68" s="4" t="s">
        <v>190</v>
      </c>
      <c r="I68" s="4" t="s">
        <v>184</v>
      </c>
      <c r="J68" s="5" t="s">
        <v>191</v>
      </c>
      <c r="K68" s="5" t="s">
        <v>49</v>
      </c>
      <c r="L68" s="4" t="s">
        <v>364</v>
      </c>
      <c r="M68" s="132" t="s">
        <v>192</v>
      </c>
      <c r="N68" s="5" t="s">
        <v>32</v>
      </c>
      <c r="O68" s="5" t="s">
        <v>158</v>
      </c>
      <c r="P68" s="6" t="s">
        <v>40</v>
      </c>
      <c r="Q68" s="19" t="s">
        <v>35</v>
      </c>
      <c r="R68" s="7">
        <v>1</v>
      </c>
      <c r="S68" s="8">
        <v>3108.5</v>
      </c>
      <c r="T68" s="147">
        <f>R68*S68</f>
        <v>3108.5</v>
      </c>
      <c r="U68" s="7">
        <v>1</v>
      </c>
      <c r="V68" s="8">
        <v>0</v>
      </c>
      <c r="W68" s="147">
        <f t="shared" ref="W68:W69" si="15">U68*V68</f>
        <v>0</v>
      </c>
      <c r="X68" s="7">
        <v>1</v>
      </c>
      <c r="Y68" s="8">
        <v>3108.5</v>
      </c>
      <c r="Z68" s="147">
        <f t="shared" ref="Z68:Z69" si="16">X68*Y68</f>
        <v>3108.5</v>
      </c>
      <c r="AA68" s="171">
        <f t="shared" si="0"/>
        <v>6217</v>
      </c>
      <c r="AB68" s="19" t="s">
        <v>34</v>
      </c>
      <c r="AC68" s="20" t="s">
        <v>193</v>
      </c>
      <c r="AD68" s="151"/>
    </row>
    <row r="69" spans="2:30" ht="70.2" customHeight="1">
      <c r="B69" s="153">
        <v>1</v>
      </c>
      <c r="C69" s="5" t="s">
        <v>169</v>
      </c>
      <c r="D69" s="5" t="s">
        <v>170</v>
      </c>
      <c r="E69" s="11">
        <v>2</v>
      </c>
      <c r="F69" s="4" t="s">
        <v>153</v>
      </c>
      <c r="G69" s="4" t="s">
        <v>427</v>
      </c>
      <c r="H69" s="4" t="s">
        <v>190</v>
      </c>
      <c r="I69" s="4" t="s">
        <v>184</v>
      </c>
      <c r="J69" s="5" t="s">
        <v>191</v>
      </c>
      <c r="K69" s="5" t="s">
        <v>49</v>
      </c>
      <c r="L69" s="4" t="s">
        <v>364</v>
      </c>
      <c r="M69" s="132" t="s">
        <v>194</v>
      </c>
      <c r="N69" s="5" t="s">
        <v>32</v>
      </c>
      <c r="O69" s="5" t="s">
        <v>158</v>
      </c>
      <c r="P69" s="6" t="s">
        <v>40</v>
      </c>
      <c r="Q69" s="19" t="s">
        <v>35</v>
      </c>
      <c r="R69" s="7">
        <v>1</v>
      </c>
      <c r="S69" s="8">
        <v>3108.5</v>
      </c>
      <c r="T69" s="147">
        <f t="shared" ref="T69" si="17">R69*S69</f>
        <v>3108.5</v>
      </c>
      <c r="U69" s="7">
        <v>1</v>
      </c>
      <c r="V69" s="8">
        <v>0</v>
      </c>
      <c r="W69" s="147">
        <f t="shared" si="15"/>
        <v>0</v>
      </c>
      <c r="X69" s="7">
        <v>1</v>
      </c>
      <c r="Y69" s="8">
        <v>3108.5</v>
      </c>
      <c r="Z69" s="147">
        <f t="shared" si="16"/>
        <v>3108.5</v>
      </c>
      <c r="AA69" s="171">
        <f t="shared" ref="AA69:AA104" si="18">+T69+W69+Z69</f>
        <v>6217</v>
      </c>
      <c r="AB69" s="19" t="s">
        <v>34</v>
      </c>
      <c r="AC69" s="20" t="s">
        <v>195</v>
      </c>
      <c r="AD69" s="151"/>
    </row>
    <row r="70" spans="2:30" ht="70.2" customHeight="1">
      <c r="B70" s="153">
        <v>1</v>
      </c>
      <c r="C70" s="5" t="s">
        <v>169</v>
      </c>
      <c r="D70" s="5" t="s">
        <v>170</v>
      </c>
      <c r="E70" s="5">
        <v>7</v>
      </c>
      <c r="F70" s="4" t="s">
        <v>196</v>
      </c>
      <c r="G70" s="4" t="s">
        <v>427</v>
      </c>
      <c r="H70" s="4" t="s">
        <v>46</v>
      </c>
      <c r="I70" s="4" t="s">
        <v>197</v>
      </c>
      <c r="J70" s="4" t="s">
        <v>87</v>
      </c>
      <c r="K70" s="4" t="s">
        <v>49</v>
      </c>
      <c r="L70" s="4" t="s">
        <v>364</v>
      </c>
      <c r="M70" s="132" t="s">
        <v>198</v>
      </c>
      <c r="N70" s="5" t="s">
        <v>199</v>
      </c>
      <c r="O70" s="5" t="s">
        <v>200</v>
      </c>
      <c r="P70" s="6" t="s">
        <v>40</v>
      </c>
      <c r="Q70" s="19" t="s">
        <v>35</v>
      </c>
      <c r="R70" s="7">
        <v>1</v>
      </c>
      <c r="S70" s="8">
        <v>0</v>
      </c>
      <c r="T70" s="147">
        <f>(T46+T44+T23+T15+T12+T7+T4+T9)*0.13</f>
        <v>8629.4</v>
      </c>
      <c r="U70" s="7">
        <v>1</v>
      </c>
      <c r="V70" s="8">
        <v>0</v>
      </c>
      <c r="W70" s="147">
        <f>(W46+W44+W23+W15+W12+W7+W4+W9)*0.13</f>
        <v>5376.8</v>
      </c>
      <c r="X70" s="7">
        <v>1</v>
      </c>
      <c r="Y70" s="8">
        <v>0</v>
      </c>
      <c r="Z70" s="147">
        <f>(Z46+Z44+Z23+Z15+Z12+Z7+Z4+Z9)*0.13</f>
        <v>5376.8</v>
      </c>
      <c r="AA70" s="171">
        <f t="shared" si="18"/>
        <v>19383</v>
      </c>
      <c r="AB70" s="19" t="s">
        <v>41</v>
      </c>
      <c r="AC70" s="20" t="s">
        <v>201</v>
      </c>
      <c r="AD70" s="150"/>
    </row>
    <row r="71" spans="2:30" ht="70.2" customHeight="1">
      <c r="B71" s="153">
        <v>1</v>
      </c>
      <c r="C71" s="5" t="s">
        <v>169</v>
      </c>
      <c r="D71" s="5" t="s">
        <v>170</v>
      </c>
      <c r="E71" s="5">
        <v>7</v>
      </c>
      <c r="F71" s="3" t="s">
        <v>196</v>
      </c>
      <c r="G71" s="4" t="s">
        <v>427</v>
      </c>
      <c r="H71" s="3" t="s">
        <v>202</v>
      </c>
      <c r="I71" s="4" t="s">
        <v>197</v>
      </c>
      <c r="J71" s="4" t="s">
        <v>87</v>
      </c>
      <c r="K71" s="112" t="s">
        <v>203</v>
      </c>
      <c r="L71" s="4" t="s">
        <v>364</v>
      </c>
      <c r="M71" s="132" t="s">
        <v>204</v>
      </c>
      <c r="N71" s="5" t="s">
        <v>199</v>
      </c>
      <c r="O71" s="5" t="s">
        <v>200</v>
      </c>
      <c r="P71" s="6" t="s">
        <v>40</v>
      </c>
      <c r="Q71" s="19" t="s">
        <v>35</v>
      </c>
      <c r="R71" s="7">
        <v>1</v>
      </c>
      <c r="S71" s="8">
        <v>0</v>
      </c>
      <c r="T71" s="147">
        <f>(T39+T33+T31+T36+T26+T24+T20+T84)*0.13</f>
        <v>60793.899400000002</v>
      </c>
      <c r="U71" s="7">
        <v>1</v>
      </c>
      <c r="V71" s="8">
        <v>0</v>
      </c>
      <c r="W71" s="147">
        <f>(W39+W33+W31+W36+W26+W24+W20+W84)*0.13</f>
        <v>100692.64920000001</v>
      </c>
      <c r="X71" s="7">
        <v>1</v>
      </c>
      <c r="Y71" s="8">
        <v>0</v>
      </c>
      <c r="Z71" s="147">
        <f>(Z39+Z33+Z31+Z36+Z26+Z24+Z20+Z84)*0.13</f>
        <v>45276.688600000001</v>
      </c>
      <c r="AA71" s="171">
        <f t="shared" si="18"/>
        <v>206763.2372</v>
      </c>
      <c r="AB71" s="19" t="s">
        <v>53</v>
      </c>
      <c r="AC71" s="20" t="s">
        <v>205</v>
      </c>
      <c r="AD71" s="150"/>
    </row>
    <row r="72" spans="2:30" ht="70.2" customHeight="1">
      <c r="B72" s="152"/>
      <c r="C72" s="5" t="s">
        <v>169</v>
      </c>
      <c r="D72" s="5" t="s">
        <v>170</v>
      </c>
      <c r="E72" s="5">
        <v>7</v>
      </c>
      <c r="F72" s="4" t="s">
        <v>196</v>
      </c>
      <c r="G72" s="4" t="s">
        <v>427</v>
      </c>
      <c r="H72" s="4" t="s">
        <v>46</v>
      </c>
      <c r="I72" s="4" t="s">
        <v>197</v>
      </c>
      <c r="J72" s="4" t="s">
        <v>87</v>
      </c>
      <c r="K72" s="4" t="s">
        <v>49</v>
      </c>
      <c r="L72" s="4" t="s">
        <v>364</v>
      </c>
      <c r="M72" s="4" t="s">
        <v>198</v>
      </c>
      <c r="N72" s="5" t="s">
        <v>199</v>
      </c>
      <c r="O72" s="5" t="s">
        <v>200</v>
      </c>
      <c r="P72" s="6" t="s">
        <v>52</v>
      </c>
      <c r="Q72" s="19" t="s">
        <v>35</v>
      </c>
      <c r="R72" s="7">
        <v>1</v>
      </c>
      <c r="S72" s="8">
        <v>0</v>
      </c>
      <c r="T72" s="86">
        <f>+(T16+T56+T63+T66+T100+T18+T10)*0.13</f>
        <v>40041.950000000004</v>
      </c>
      <c r="U72" s="7">
        <v>1</v>
      </c>
      <c r="V72" s="8">
        <v>0</v>
      </c>
      <c r="W72" s="86">
        <f>+(W16+W56+W63+W66+W100+W18+W10+W6)*0.13</f>
        <v>27886.95</v>
      </c>
      <c r="X72" s="7">
        <v>1</v>
      </c>
      <c r="Y72" s="8">
        <v>0</v>
      </c>
      <c r="Z72" s="86">
        <f>+(Z16+Z56+Z63+Z66+Z100+Z18+Z10+Z6)*0.13</f>
        <v>30187.3</v>
      </c>
      <c r="AA72" s="9">
        <f t="shared" si="18"/>
        <v>98116.200000000012</v>
      </c>
      <c r="AB72" s="19" t="s">
        <v>41</v>
      </c>
      <c r="AC72" s="20" t="s">
        <v>201</v>
      </c>
      <c r="AD72" s="150"/>
    </row>
    <row r="73" spans="2:30" ht="70.2" customHeight="1">
      <c r="B73" s="152"/>
      <c r="C73" s="5" t="s">
        <v>169</v>
      </c>
      <c r="D73" s="5" t="s">
        <v>170</v>
      </c>
      <c r="E73" s="5">
        <v>7</v>
      </c>
      <c r="F73" s="3" t="s">
        <v>196</v>
      </c>
      <c r="G73" s="4" t="s">
        <v>427</v>
      </c>
      <c r="H73" s="3" t="s">
        <v>202</v>
      </c>
      <c r="I73" s="4" t="s">
        <v>197</v>
      </c>
      <c r="J73" s="4" t="s">
        <v>87</v>
      </c>
      <c r="K73" s="112" t="s">
        <v>203</v>
      </c>
      <c r="L73" s="4" t="s">
        <v>364</v>
      </c>
      <c r="M73" s="4" t="s">
        <v>204</v>
      </c>
      <c r="N73" s="5" t="s">
        <v>199</v>
      </c>
      <c r="O73" s="5" t="s">
        <v>200</v>
      </c>
      <c r="P73" s="140" t="s">
        <v>52</v>
      </c>
      <c r="Q73" s="141" t="s">
        <v>35</v>
      </c>
      <c r="R73" s="142">
        <v>1</v>
      </c>
      <c r="S73" s="84">
        <v>0</v>
      </c>
      <c r="T73" s="84">
        <f>(T6*0.13)</f>
        <v>19279</v>
      </c>
      <c r="U73" s="142">
        <v>1</v>
      </c>
      <c r="V73" s="84">
        <v>0</v>
      </c>
      <c r="W73" s="84"/>
      <c r="X73" s="142">
        <v>1</v>
      </c>
      <c r="Y73" s="84">
        <v>0</v>
      </c>
      <c r="Z73" s="84">
        <v>0</v>
      </c>
      <c r="AA73" s="9">
        <f t="shared" si="18"/>
        <v>19279</v>
      </c>
      <c r="AB73" s="141" t="s">
        <v>53</v>
      </c>
      <c r="AC73" s="144" t="s">
        <v>205</v>
      </c>
      <c r="AD73" s="150"/>
    </row>
    <row r="74" spans="2:30" ht="70.2" customHeight="1">
      <c r="B74" s="153">
        <v>1</v>
      </c>
      <c r="C74" s="5" t="s">
        <v>169</v>
      </c>
      <c r="D74" s="5" t="s">
        <v>170</v>
      </c>
      <c r="E74" s="11">
        <v>11</v>
      </c>
      <c r="F74" s="4" t="s">
        <v>153</v>
      </c>
      <c r="G74" s="4" t="s">
        <v>427</v>
      </c>
      <c r="H74" s="4" t="s">
        <v>206</v>
      </c>
      <c r="I74" s="4" t="s">
        <v>207</v>
      </c>
      <c r="J74" s="5" t="s">
        <v>87</v>
      </c>
      <c r="K74" s="111" t="s">
        <v>82</v>
      </c>
      <c r="L74" s="4" t="s">
        <v>364</v>
      </c>
      <c r="M74" s="132" t="s">
        <v>208</v>
      </c>
      <c r="N74" s="5" t="s">
        <v>32</v>
      </c>
      <c r="O74" s="5" t="s">
        <v>158</v>
      </c>
      <c r="P74" s="6" t="s">
        <v>40</v>
      </c>
      <c r="Q74" s="19" t="s">
        <v>35</v>
      </c>
      <c r="R74" s="7">
        <v>12</v>
      </c>
      <c r="S74" s="8">
        <f>(1904.28/12)+0.252</f>
        <v>158.94200000000001</v>
      </c>
      <c r="T74" s="147">
        <f>R74*S74</f>
        <v>1907.3040000000001</v>
      </c>
      <c r="U74" s="7">
        <v>12</v>
      </c>
      <c r="V74" s="8">
        <f>(1904.28/12)+0.2512</f>
        <v>158.94120000000001</v>
      </c>
      <c r="W74" s="147">
        <f>+U74*V74</f>
        <v>1907.2944000000002</v>
      </c>
      <c r="X74" s="7">
        <v>12</v>
      </c>
      <c r="Y74" s="8">
        <f>(1904.28/12)+0.2512</f>
        <v>158.94120000000001</v>
      </c>
      <c r="Z74" s="147">
        <f>+X74*Y74</f>
        <v>1907.2944000000002</v>
      </c>
      <c r="AA74" s="171">
        <f t="shared" si="18"/>
        <v>5721.8928000000005</v>
      </c>
      <c r="AB74" s="19" t="s">
        <v>34</v>
      </c>
      <c r="AC74" s="20" t="s">
        <v>209</v>
      </c>
      <c r="AD74" s="150"/>
    </row>
    <row r="75" spans="2:30" ht="70.2" customHeight="1">
      <c r="B75" s="153">
        <v>1</v>
      </c>
      <c r="C75" s="5" t="s">
        <v>169</v>
      </c>
      <c r="D75" s="5" t="s">
        <v>170</v>
      </c>
      <c r="E75" s="5">
        <v>3</v>
      </c>
      <c r="F75" s="5" t="s">
        <v>54</v>
      </c>
      <c r="G75" s="181" t="s">
        <v>411</v>
      </c>
      <c r="H75" s="4" t="s">
        <v>286</v>
      </c>
      <c r="I75" s="4" t="s">
        <v>102</v>
      </c>
      <c r="J75" s="5" t="s">
        <v>103</v>
      </c>
      <c r="K75" s="5" t="s">
        <v>210</v>
      </c>
      <c r="L75" s="4" t="s">
        <v>364</v>
      </c>
      <c r="M75" s="132" t="s">
        <v>211</v>
      </c>
      <c r="N75" s="5" t="s">
        <v>134</v>
      </c>
      <c r="O75" s="5" t="s">
        <v>100</v>
      </c>
      <c r="P75" s="6" t="s">
        <v>40</v>
      </c>
      <c r="Q75" s="19" t="s">
        <v>35</v>
      </c>
      <c r="R75" s="7" t="s">
        <v>167</v>
      </c>
      <c r="S75" s="8">
        <v>25000</v>
      </c>
      <c r="T75" s="147">
        <f>R75*S75</f>
        <v>25000</v>
      </c>
      <c r="U75" s="7" t="s">
        <v>167</v>
      </c>
      <c r="V75" s="8">
        <v>25000</v>
      </c>
      <c r="W75" s="147">
        <f>+U75*V75</f>
        <v>25000</v>
      </c>
      <c r="X75" s="7" t="s">
        <v>167</v>
      </c>
      <c r="Y75" s="8">
        <v>25000</v>
      </c>
      <c r="Z75" s="147">
        <f t="shared" si="3"/>
        <v>25000</v>
      </c>
      <c r="AA75" s="171">
        <f t="shared" si="18"/>
        <v>75000</v>
      </c>
      <c r="AB75" s="19" t="s">
        <v>53</v>
      </c>
      <c r="AC75" s="20" t="s">
        <v>212</v>
      </c>
      <c r="AD75" s="150"/>
    </row>
    <row r="76" spans="2:30" ht="70.2" customHeight="1">
      <c r="B76" s="152"/>
      <c r="C76" s="5" t="s">
        <v>144</v>
      </c>
      <c r="D76" s="5" t="s">
        <v>145</v>
      </c>
      <c r="E76" s="5">
        <v>2</v>
      </c>
      <c r="F76" s="4" t="s">
        <v>70</v>
      </c>
      <c r="G76" s="181" t="s">
        <v>423</v>
      </c>
      <c r="H76" s="4" t="s">
        <v>213</v>
      </c>
      <c r="I76" s="4" t="s">
        <v>214</v>
      </c>
      <c r="J76" s="5" t="s">
        <v>215</v>
      </c>
      <c r="K76" s="5" t="s">
        <v>215</v>
      </c>
      <c r="L76" s="4" t="s">
        <v>364</v>
      </c>
      <c r="M76" s="4" t="s">
        <v>282</v>
      </c>
      <c r="N76" s="5" t="s">
        <v>181</v>
      </c>
      <c r="O76" s="5" t="s">
        <v>216</v>
      </c>
      <c r="P76" s="6" t="s">
        <v>217</v>
      </c>
      <c r="Q76" s="5" t="s">
        <v>218</v>
      </c>
      <c r="R76" s="7">
        <v>8</v>
      </c>
      <c r="S76" s="25">
        <v>1568.64</v>
      </c>
      <c r="T76" s="8">
        <f>R76*S76</f>
        <v>12549.12</v>
      </c>
      <c r="U76" s="7">
        <v>8</v>
      </c>
      <c r="V76" s="25">
        <v>1568.64</v>
      </c>
      <c r="W76" s="8">
        <f>+U76*V76</f>
        <v>12549.12</v>
      </c>
      <c r="X76" s="7">
        <v>8</v>
      </c>
      <c r="Y76" s="25">
        <v>1568.64</v>
      </c>
      <c r="Z76" s="8">
        <f>+X76*Y76</f>
        <v>12549.12</v>
      </c>
      <c r="AA76" s="9">
        <f t="shared" si="18"/>
        <v>37647.360000000001</v>
      </c>
      <c r="AB76" s="26" t="s">
        <v>219</v>
      </c>
      <c r="AC76" s="3" t="s">
        <v>220</v>
      </c>
      <c r="AD76" s="183"/>
    </row>
    <row r="77" spans="2:30" ht="70.2" customHeight="1">
      <c r="B77" s="152"/>
      <c r="C77" s="5" t="s">
        <v>44</v>
      </c>
      <c r="D77" s="5" t="s">
        <v>221</v>
      </c>
      <c r="E77" s="11">
        <v>1</v>
      </c>
      <c r="F77" s="2" t="s">
        <v>26</v>
      </c>
      <c r="G77" s="175" t="s">
        <v>414</v>
      </c>
      <c r="H77" s="4" t="s">
        <v>222</v>
      </c>
      <c r="I77" s="4" t="s">
        <v>223</v>
      </c>
      <c r="J77" s="4" t="s">
        <v>87</v>
      </c>
      <c r="K77" s="4" t="s">
        <v>82</v>
      </c>
      <c r="L77" s="4" t="s">
        <v>364</v>
      </c>
      <c r="M77" s="4" t="s">
        <v>224</v>
      </c>
      <c r="N77" s="5" t="s">
        <v>32</v>
      </c>
      <c r="O77" s="5" t="s">
        <v>225</v>
      </c>
      <c r="P77" s="6" t="s">
        <v>226</v>
      </c>
      <c r="Q77" s="28" t="s">
        <v>227</v>
      </c>
      <c r="R77" s="29">
        <v>1</v>
      </c>
      <c r="S77" s="30">
        <v>338122.02</v>
      </c>
      <c r="T77" s="8">
        <f t="shared" ref="T77:T103" si="19">R77*S77</f>
        <v>338122.02</v>
      </c>
      <c r="U77" s="31">
        <v>1</v>
      </c>
      <c r="V77" s="30">
        <v>338122.02</v>
      </c>
      <c r="W77" s="8">
        <f t="shared" ref="W77:W103" si="20">+U77*V77</f>
        <v>338122.02</v>
      </c>
      <c r="X77" s="31">
        <v>1</v>
      </c>
      <c r="Y77" s="30">
        <v>338122.02</v>
      </c>
      <c r="Z77" s="8">
        <f t="shared" ref="Z77:Z103" si="21">+X77*Y77</f>
        <v>338122.02</v>
      </c>
      <c r="AA77" s="9">
        <f t="shared" si="18"/>
        <v>1014366.06</v>
      </c>
      <c r="AB77" s="33" t="s">
        <v>226</v>
      </c>
      <c r="AC77" s="34" t="s">
        <v>228</v>
      </c>
      <c r="AD77" s="150"/>
    </row>
    <row r="78" spans="2:30" ht="70.2" customHeight="1">
      <c r="B78" s="152"/>
      <c r="C78" s="5" t="s">
        <v>44</v>
      </c>
      <c r="D78" s="5" t="s">
        <v>221</v>
      </c>
      <c r="E78" s="5">
        <v>1</v>
      </c>
      <c r="F78" s="5" t="s">
        <v>54</v>
      </c>
      <c r="G78" s="175" t="s">
        <v>414</v>
      </c>
      <c r="H78" s="4" t="s">
        <v>283</v>
      </c>
      <c r="I78" s="4" t="s">
        <v>230</v>
      </c>
      <c r="J78" s="4" t="s">
        <v>231</v>
      </c>
      <c r="K78" s="4" t="s">
        <v>203</v>
      </c>
      <c r="L78" s="4" t="s">
        <v>364</v>
      </c>
      <c r="M78" s="4" t="s">
        <v>232</v>
      </c>
      <c r="N78" s="5" t="s">
        <v>32</v>
      </c>
      <c r="O78" s="5" t="s">
        <v>33</v>
      </c>
      <c r="P78" s="6" t="s">
        <v>34</v>
      </c>
      <c r="Q78" s="18" t="s">
        <v>35</v>
      </c>
      <c r="R78" s="29">
        <v>1</v>
      </c>
      <c r="S78" s="8">
        <f>3397181+2193061*1.05</f>
        <v>5699895.0500000007</v>
      </c>
      <c r="T78" s="8">
        <f t="shared" si="19"/>
        <v>5699895.0500000007</v>
      </c>
      <c r="U78" s="29">
        <v>1</v>
      </c>
      <c r="V78" s="81">
        <f>T78*1.05</f>
        <v>5984889.8025000012</v>
      </c>
      <c r="W78" s="8">
        <f t="shared" si="20"/>
        <v>5984889.8025000012</v>
      </c>
      <c r="X78" s="29">
        <v>1</v>
      </c>
      <c r="Y78" s="81">
        <f>V78*1.05</f>
        <v>6284134.2926250016</v>
      </c>
      <c r="Z78" s="8">
        <f t="shared" si="21"/>
        <v>6284134.2926250016</v>
      </c>
      <c r="AA78" s="9">
        <f t="shared" si="18"/>
        <v>17968919.145125005</v>
      </c>
      <c r="AB78" s="33" t="s">
        <v>34</v>
      </c>
      <c r="AC78" s="34" t="s">
        <v>233</v>
      </c>
      <c r="AD78" s="150"/>
    </row>
    <row r="79" spans="2:30" ht="70.2" customHeight="1">
      <c r="B79" s="152"/>
      <c r="C79" s="5" t="s">
        <v>44</v>
      </c>
      <c r="D79" s="5" t="s">
        <v>221</v>
      </c>
      <c r="E79" s="5">
        <v>4</v>
      </c>
      <c r="F79" s="5" t="s">
        <v>54</v>
      </c>
      <c r="G79" s="175" t="s">
        <v>417</v>
      </c>
      <c r="H79" s="4" t="s">
        <v>283</v>
      </c>
      <c r="I79" s="4" t="s">
        <v>239</v>
      </c>
      <c r="J79" s="4" t="s">
        <v>231</v>
      </c>
      <c r="K79" s="4" t="s">
        <v>203</v>
      </c>
      <c r="L79" s="4" t="s">
        <v>364</v>
      </c>
      <c r="M79" s="4" t="s">
        <v>234</v>
      </c>
      <c r="N79" s="5" t="s">
        <v>32</v>
      </c>
      <c r="O79" s="5" t="s">
        <v>33</v>
      </c>
      <c r="P79" s="6" t="s">
        <v>34</v>
      </c>
      <c r="Q79" s="18" t="s">
        <v>35</v>
      </c>
      <c r="R79" s="29">
        <v>1</v>
      </c>
      <c r="S79" s="8">
        <f>(3554885+27742+1000000)*1.02</f>
        <v>4674279.54</v>
      </c>
      <c r="T79" s="8">
        <f t="shared" si="19"/>
        <v>4674279.54</v>
      </c>
      <c r="U79" s="29">
        <v>1</v>
      </c>
      <c r="V79" s="81">
        <f>T79*1.02</f>
        <v>4767765.1308000004</v>
      </c>
      <c r="W79" s="8">
        <f t="shared" si="20"/>
        <v>4767765.1308000004</v>
      </c>
      <c r="X79" s="29">
        <v>1</v>
      </c>
      <c r="Y79" s="81">
        <f>W79*1.02</f>
        <v>4863120.4334160006</v>
      </c>
      <c r="Z79" s="8">
        <f t="shared" si="21"/>
        <v>4863120.4334160006</v>
      </c>
      <c r="AA79" s="9">
        <f t="shared" si="18"/>
        <v>14305165.104216002</v>
      </c>
      <c r="AB79" s="33" t="s">
        <v>34</v>
      </c>
      <c r="AC79" s="34" t="s">
        <v>235</v>
      </c>
      <c r="AD79" s="150"/>
    </row>
    <row r="80" spans="2:30" ht="70.2" customHeight="1">
      <c r="B80" s="152"/>
      <c r="C80" s="5" t="s">
        <v>44</v>
      </c>
      <c r="D80" s="5" t="s">
        <v>45</v>
      </c>
      <c r="E80" s="5">
        <v>6</v>
      </c>
      <c r="F80" s="5" t="s">
        <v>54</v>
      </c>
      <c r="G80" s="184" t="s">
        <v>422</v>
      </c>
      <c r="H80" s="4" t="s">
        <v>222</v>
      </c>
      <c r="I80" s="184" t="s">
        <v>422</v>
      </c>
      <c r="J80" s="4" t="s">
        <v>87</v>
      </c>
      <c r="K80" s="102" t="s">
        <v>82</v>
      </c>
      <c r="L80" s="4" t="s">
        <v>368</v>
      </c>
      <c r="M80" s="4" t="s">
        <v>313</v>
      </c>
      <c r="N80" s="5" t="s">
        <v>66</v>
      </c>
      <c r="O80" s="5" t="s">
        <v>33</v>
      </c>
      <c r="P80" s="6" t="s">
        <v>34</v>
      </c>
      <c r="Q80" s="18" t="s">
        <v>35</v>
      </c>
      <c r="R80" s="29">
        <v>1</v>
      </c>
      <c r="S80" s="113">
        <v>25875</v>
      </c>
      <c r="T80" s="8">
        <f t="shared" si="19"/>
        <v>25875</v>
      </c>
      <c r="U80" s="29">
        <v>1</v>
      </c>
      <c r="V80" s="113">
        <f t="shared" ref="V80" si="22">S80*1.02</f>
        <v>26392.5</v>
      </c>
      <c r="W80" s="8">
        <f t="shared" si="20"/>
        <v>26392.5</v>
      </c>
      <c r="X80" s="29">
        <v>1</v>
      </c>
      <c r="Y80" s="113">
        <f t="shared" ref="Y80" si="23">V80*1.02</f>
        <v>26920.350000000002</v>
      </c>
      <c r="Z80" s="8">
        <f t="shared" si="21"/>
        <v>26920.350000000002</v>
      </c>
      <c r="AA80" s="9">
        <f t="shared" si="18"/>
        <v>79187.850000000006</v>
      </c>
      <c r="AB80" s="85" t="s">
        <v>53</v>
      </c>
      <c r="AC80" s="34" t="s">
        <v>319</v>
      </c>
      <c r="AD80" s="150"/>
    </row>
    <row r="81" spans="2:30" ht="70.2" customHeight="1">
      <c r="B81" s="152"/>
      <c r="C81" s="5" t="s">
        <v>24</v>
      </c>
      <c r="D81" s="5" t="s">
        <v>25</v>
      </c>
      <c r="E81" s="5">
        <v>4</v>
      </c>
      <c r="F81" s="2" t="s">
        <v>26</v>
      </c>
      <c r="G81" s="2" t="s">
        <v>410</v>
      </c>
      <c r="H81" s="4" t="s">
        <v>283</v>
      </c>
      <c r="I81" s="4" t="s">
        <v>434</v>
      </c>
      <c r="J81" s="185" t="s">
        <v>435</v>
      </c>
      <c r="K81" s="185" t="s">
        <v>435</v>
      </c>
      <c r="L81" s="4" t="s">
        <v>358</v>
      </c>
      <c r="M81" s="4" t="s">
        <v>380</v>
      </c>
      <c r="N81" s="5" t="s">
        <v>66</v>
      </c>
      <c r="O81" s="5" t="s">
        <v>33</v>
      </c>
      <c r="P81" s="6" t="s">
        <v>34</v>
      </c>
      <c r="Q81" s="18" t="s">
        <v>35</v>
      </c>
      <c r="R81" s="29">
        <v>3319</v>
      </c>
      <c r="S81" s="114">
        <v>35.904000000000003</v>
      </c>
      <c r="T81" s="8">
        <f t="shared" si="19"/>
        <v>119165.37600000002</v>
      </c>
      <c r="U81" s="29">
        <v>3405</v>
      </c>
      <c r="V81" s="115">
        <v>35.904000000000003</v>
      </c>
      <c r="W81" s="8">
        <f t="shared" si="20"/>
        <v>122253.12000000001</v>
      </c>
      <c r="X81" s="29">
        <v>3655</v>
      </c>
      <c r="Y81" s="115">
        <v>39.6</v>
      </c>
      <c r="Z81" s="8">
        <f t="shared" si="21"/>
        <v>144738</v>
      </c>
      <c r="AA81" s="9">
        <f t="shared" si="18"/>
        <v>386156.49600000004</v>
      </c>
      <c r="AB81" s="85" t="s">
        <v>53</v>
      </c>
      <c r="AC81" s="34" t="s">
        <v>320</v>
      </c>
      <c r="AD81" s="150"/>
    </row>
    <row r="82" spans="2:30" ht="70.2" customHeight="1">
      <c r="B82" s="152"/>
      <c r="C82" s="5" t="s">
        <v>24</v>
      </c>
      <c r="D82" s="5" t="s">
        <v>25</v>
      </c>
      <c r="E82" s="5">
        <v>4</v>
      </c>
      <c r="F82" s="2" t="s">
        <v>26</v>
      </c>
      <c r="G82" s="2" t="s">
        <v>410</v>
      </c>
      <c r="H82" s="4" t="s">
        <v>283</v>
      </c>
      <c r="I82" s="4" t="s">
        <v>239</v>
      </c>
      <c r="J82" s="185" t="s">
        <v>437</v>
      </c>
      <c r="K82" s="185" t="s">
        <v>437</v>
      </c>
      <c r="L82" s="4" t="s">
        <v>370</v>
      </c>
      <c r="M82" s="4" t="s">
        <v>381</v>
      </c>
      <c r="N82" s="5" t="s">
        <v>66</v>
      </c>
      <c r="O82" s="5" t="s">
        <v>33</v>
      </c>
      <c r="P82" s="6" t="s">
        <v>34</v>
      </c>
      <c r="Q82" s="18" t="s">
        <v>35</v>
      </c>
      <c r="R82" s="29">
        <v>1</v>
      </c>
      <c r="S82" s="113">
        <v>37164.74</v>
      </c>
      <c r="T82" s="8">
        <f t="shared" si="19"/>
        <v>37164.74</v>
      </c>
      <c r="U82" s="29">
        <v>1</v>
      </c>
      <c r="V82" s="115">
        <v>37794.720000000001</v>
      </c>
      <c r="W82" s="8">
        <f t="shared" si="20"/>
        <v>37794.720000000001</v>
      </c>
      <c r="X82" s="29">
        <v>1</v>
      </c>
      <c r="Y82" s="115">
        <v>39684.46</v>
      </c>
      <c r="Z82" s="8">
        <f t="shared" si="21"/>
        <v>39684.46</v>
      </c>
      <c r="AA82" s="9">
        <f t="shared" si="18"/>
        <v>114643.91999999998</v>
      </c>
      <c r="AB82" s="85" t="s">
        <v>53</v>
      </c>
      <c r="AC82" s="34" t="s">
        <v>321</v>
      </c>
      <c r="AD82" s="150"/>
    </row>
    <row r="83" spans="2:30" ht="70.2" customHeight="1">
      <c r="B83" s="152"/>
      <c r="C83" s="5" t="s">
        <v>24</v>
      </c>
      <c r="D83" s="5" t="s">
        <v>61</v>
      </c>
      <c r="E83" s="5">
        <v>4</v>
      </c>
      <c r="F83" s="2" t="s">
        <v>26</v>
      </c>
      <c r="G83" s="2" t="s">
        <v>412</v>
      </c>
      <c r="H83" s="4" t="s">
        <v>283</v>
      </c>
      <c r="I83" s="4" t="s">
        <v>239</v>
      </c>
      <c r="J83" s="185" t="s">
        <v>437</v>
      </c>
      <c r="K83" s="185" t="s">
        <v>437</v>
      </c>
      <c r="L83" s="4" t="s">
        <v>369</v>
      </c>
      <c r="M83" s="4" t="s">
        <v>382</v>
      </c>
      <c r="N83" s="5" t="s">
        <v>66</v>
      </c>
      <c r="O83" s="5" t="s">
        <v>33</v>
      </c>
      <c r="P83" s="6" t="s">
        <v>34</v>
      </c>
      <c r="Q83" s="18" t="s">
        <v>35</v>
      </c>
      <c r="R83" s="29">
        <f>59*0.2</f>
        <v>11.8</v>
      </c>
      <c r="S83" s="113">
        <f>(46455.93*0.2)/R83</f>
        <v>787.38864406779658</v>
      </c>
      <c r="T83" s="8">
        <f t="shared" si="19"/>
        <v>9291.1859999999997</v>
      </c>
      <c r="U83" s="29">
        <f>60*0.2</f>
        <v>12</v>
      </c>
      <c r="V83" s="115">
        <v>787.39</v>
      </c>
      <c r="W83" s="8">
        <f t="shared" si="20"/>
        <v>9448.68</v>
      </c>
      <c r="X83" s="29">
        <f>63*0.2</f>
        <v>12.600000000000001</v>
      </c>
      <c r="Y83" s="115">
        <v>787.39</v>
      </c>
      <c r="Z83" s="8">
        <f t="shared" si="21"/>
        <v>9921.1140000000014</v>
      </c>
      <c r="AA83" s="9">
        <f t="shared" si="18"/>
        <v>28660.980000000003</v>
      </c>
      <c r="AB83" s="85" t="s">
        <v>53</v>
      </c>
      <c r="AC83" s="34" t="s">
        <v>322</v>
      </c>
      <c r="AD83" s="150"/>
    </row>
    <row r="84" spans="2:30" ht="70.2" customHeight="1">
      <c r="B84" s="153">
        <v>1</v>
      </c>
      <c r="C84" s="5" t="s">
        <v>24</v>
      </c>
      <c r="D84" s="5" t="s">
        <v>25</v>
      </c>
      <c r="E84" s="5">
        <v>4</v>
      </c>
      <c r="F84" s="2" t="s">
        <v>26</v>
      </c>
      <c r="G84" s="2" t="s">
        <v>410</v>
      </c>
      <c r="H84" s="4" t="s">
        <v>336</v>
      </c>
      <c r="I84" s="186" t="s">
        <v>434</v>
      </c>
      <c r="J84" s="4" t="s">
        <v>439</v>
      </c>
      <c r="K84" s="4" t="s">
        <v>439</v>
      </c>
      <c r="L84" s="4" t="s">
        <v>353</v>
      </c>
      <c r="M84" s="4" t="s">
        <v>402</v>
      </c>
      <c r="N84" s="5" t="s">
        <v>66</v>
      </c>
      <c r="O84" s="5"/>
      <c r="P84" s="6" t="s">
        <v>40</v>
      </c>
      <c r="Q84" s="11" t="s">
        <v>35</v>
      </c>
      <c r="R84" s="29">
        <v>0</v>
      </c>
      <c r="S84" s="114"/>
      <c r="T84" s="147">
        <f t="shared" si="19"/>
        <v>0</v>
      </c>
      <c r="U84" s="29">
        <v>19729</v>
      </c>
      <c r="V84" s="115">
        <v>19.100000000000001</v>
      </c>
      <c r="W84" s="147">
        <f>+U84*V84</f>
        <v>376823.9</v>
      </c>
      <c r="X84" s="29">
        <v>0</v>
      </c>
      <c r="Y84" s="115">
        <v>0</v>
      </c>
      <c r="Z84" s="147">
        <f t="shared" si="21"/>
        <v>0</v>
      </c>
      <c r="AA84" s="171">
        <f t="shared" si="18"/>
        <v>376823.9</v>
      </c>
      <c r="AB84" s="33" t="s">
        <v>53</v>
      </c>
      <c r="AC84" s="34" t="s">
        <v>323</v>
      </c>
      <c r="AD84" s="150"/>
    </row>
    <row r="85" spans="2:30" ht="70.2" customHeight="1">
      <c r="B85" s="152"/>
      <c r="C85" s="5" t="s">
        <v>24</v>
      </c>
      <c r="D85" s="5" t="s">
        <v>25</v>
      </c>
      <c r="E85" s="5">
        <v>4</v>
      </c>
      <c r="F85" s="2" t="s">
        <v>26</v>
      </c>
      <c r="G85" s="2" t="s">
        <v>410</v>
      </c>
      <c r="H85" s="4" t="s">
        <v>336</v>
      </c>
      <c r="I85" s="186" t="s">
        <v>434</v>
      </c>
      <c r="J85" s="4" t="s">
        <v>439</v>
      </c>
      <c r="K85" s="4" t="s">
        <v>439</v>
      </c>
      <c r="L85" s="4" t="s">
        <v>353</v>
      </c>
      <c r="M85" s="4" t="s">
        <v>383</v>
      </c>
      <c r="N85" s="5" t="s">
        <v>66</v>
      </c>
      <c r="O85" s="5"/>
      <c r="P85" s="6" t="s">
        <v>43</v>
      </c>
      <c r="Q85" s="18" t="s">
        <v>35</v>
      </c>
      <c r="R85" s="29">
        <v>0</v>
      </c>
      <c r="S85" s="114"/>
      <c r="T85" s="84">
        <f t="shared" si="19"/>
        <v>0</v>
      </c>
      <c r="U85" s="133">
        <f>40000-U84</f>
        <v>20271</v>
      </c>
      <c r="V85" s="115">
        <v>19.100000000000001</v>
      </c>
      <c r="W85" s="84">
        <f>+U85*V85</f>
        <v>387176.10000000003</v>
      </c>
      <c r="X85" s="29">
        <v>0</v>
      </c>
      <c r="Y85" s="115">
        <v>0</v>
      </c>
      <c r="Z85" s="84">
        <f t="shared" si="21"/>
        <v>0</v>
      </c>
      <c r="AA85" s="9">
        <f t="shared" si="18"/>
        <v>387176.10000000003</v>
      </c>
      <c r="AB85" s="33" t="s">
        <v>53</v>
      </c>
      <c r="AC85" s="34" t="s">
        <v>323</v>
      </c>
      <c r="AD85" s="150"/>
    </row>
    <row r="86" spans="2:30" ht="70.2" customHeight="1">
      <c r="B86" s="152"/>
      <c r="C86" s="5" t="s">
        <v>89</v>
      </c>
      <c r="D86" s="5" t="s">
        <v>188</v>
      </c>
      <c r="E86" s="5">
        <v>4</v>
      </c>
      <c r="F86" s="2" t="s">
        <v>26</v>
      </c>
      <c r="G86" s="175" t="s">
        <v>416</v>
      </c>
      <c r="H86" s="4" t="s">
        <v>283</v>
      </c>
      <c r="I86" s="186" t="s">
        <v>434</v>
      </c>
      <c r="J86" s="5" t="s">
        <v>241</v>
      </c>
      <c r="K86" s="5" t="s">
        <v>241</v>
      </c>
      <c r="L86" s="4" t="s">
        <v>371</v>
      </c>
      <c r="M86" s="4" t="s">
        <v>384</v>
      </c>
      <c r="N86" s="5" t="s">
        <v>66</v>
      </c>
      <c r="O86" s="5" t="s">
        <v>33</v>
      </c>
      <c r="P86" s="6" t="s">
        <v>34</v>
      </c>
      <c r="Q86" s="18" t="s">
        <v>35</v>
      </c>
      <c r="R86" s="18">
        <v>340</v>
      </c>
      <c r="S86" s="114">
        <v>35.9</v>
      </c>
      <c r="T86" s="8">
        <f t="shared" si="19"/>
        <v>12206</v>
      </c>
      <c r="U86" s="29">
        <v>340</v>
      </c>
      <c r="V86" s="115">
        <v>35.9</v>
      </c>
      <c r="W86" s="8">
        <f t="shared" ref="W86:W90" si="24">+U86*V86</f>
        <v>12206</v>
      </c>
      <c r="X86" s="29">
        <v>340</v>
      </c>
      <c r="Y86" s="115">
        <v>39.6</v>
      </c>
      <c r="Z86" s="8">
        <f t="shared" si="21"/>
        <v>13464</v>
      </c>
      <c r="AA86" s="9">
        <f t="shared" si="18"/>
        <v>37876</v>
      </c>
      <c r="AB86" s="33" t="s">
        <v>53</v>
      </c>
      <c r="AC86" s="34" t="s">
        <v>324</v>
      </c>
      <c r="AD86" s="150"/>
    </row>
    <row r="87" spans="2:30" ht="70.2" customHeight="1">
      <c r="B87" s="152"/>
      <c r="C87" s="5" t="s">
        <v>44</v>
      </c>
      <c r="D87" s="5" t="s">
        <v>221</v>
      </c>
      <c r="E87" s="5">
        <v>4</v>
      </c>
      <c r="F87" s="5" t="s">
        <v>54</v>
      </c>
      <c r="G87" s="2" t="s">
        <v>417</v>
      </c>
      <c r="H87" s="4" t="s">
        <v>283</v>
      </c>
      <c r="I87" s="4" t="s">
        <v>239</v>
      </c>
      <c r="J87" s="5" t="s">
        <v>241</v>
      </c>
      <c r="K87" s="5" t="s">
        <v>241</v>
      </c>
      <c r="L87" s="4" t="s">
        <v>349</v>
      </c>
      <c r="M87" s="4" t="s">
        <v>385</v>
      </c>
      <c r="N87" s="5" t="s">
        <v>66</v>
      </c>
      <c r="O87" s="5" t="s">
        <v>33</v>
      </c>
      <c r="P87" s="6" t="s">
        <v>34</v>
      </c>
      <c r="Q87" s="18" t="s">
        <v>35</v>
      </c>
      <c r="R87" s="18">
        <v>1252</v>
      </c>
      <c r="S87" s="114">
        <v>35.9</v>
      </c>
      <c r="T87" s="8">
        <f t="shared" si="19"/>
        <v>44946.799999999996</v>
      </c>
      <c r="U87" s="29">
        <v>1256</v>
      </c>
      <c r="V87" s="115">
        <v>35.9</v>
      </c>
      <c r="W87" s="8">
        <f t="shared" si="24"/>
        <v>45090.400000000001</v>
      </c>
      <c r="X87" s="29">
        <v>1261</v>
      </c>
      <c r="Y87" s="115">
        <v>39.6</v>
      </c>
      <c r="Z87" s="8">
        <f t="shared" si="21"/>
        <v>49935.6</v>
      </c>
      <c r="AA87" s="9">
        <f t="shared" si="18"/>
        <v>139972.79999999999</v>
      </c>
      <c r="AB87" s="33" t="s">
        <v>53</v>
      </c>
      <c r="AC87" s="34" t="s">
        <v>325</v>
      </c>
      <c r="AD87" s="150"/>
    </row>
    <row r="88" spans="2:30" ht="70.2" customHeight="1">
      <c r="B88" s="152"/>
      <c r="C88" s="5" t="s">
        <v>89</v>
      </c>
      <c r="D88" s="5" t="s">
        <v>188</v>
      </c>
      <c r="E88" s="5">
        <v>4</v>
      </c>
      <c r="F88" s="2" t="s">
        <v>26</v>
      </c>
      <c r="G88" s="2" t="s">
        <v>416</v>
      </c>
      <c r="H88" s="4" t="s">
        <v>339</v>
      </c>
      <c r="I88" s="186" t="s">
        <v>434</v>
      </c>
      <c r="J88" s="5" t="s">
        <v>436</v>
      </c>
      <c r="K88" s="5" t="s">
        <v>436</v>
      </c>
      <c r="L88" s="4" t="s">
        <v>355</v>
      </c>
      <c r="M88" s="4" t="s">
        <v>386</v>
      </c>
      <c r="N88" s="5" t="s">
        <v>66</v>
      </c>
      <c r="O88" s="5" t="s">
        <v>33</v>
      </c>
      <c r="P88" s="6" t="s">
        <v>34</v>
      </c>
      <c r="Q88" s="18" t="s">
        <v>35</v>
      </c>
      <c r="R88" s="29">
        <v>2000</v>
      </c>
      <c r="S88" s="114">
        <v>19.100000000000001</v>
      </c>
      <c r="T88" s="8">
        <f t="shared" si="19"/>
        <v>38200</v>
      </c>
      <c r="U88" s="29">
        <v>2000</v>
      </c>
      <c r="V88" s="115">
        <v>19.100000000000001</v>
      </c>
      <c r="W88" s="8">
        <f t="shared" si="24"/>
        <v>38200</v>
      </c>
      <c r="X88" s="29">
        <v>2000</v>
      </c>
      <c r="Y88" s="116">
        <v>19.100000000000001</v>
      </c>
      <c r="Z88" s="8">
        <f t="shared" si="21"/>
        <v>38200</v>
      </c>
      <c r="AA88" s="9">
        <f t="shared" si="18"/>
        <v>114600</v>
      </c>
      <c r="AB88" s="33" t="s">
        <v>53</v>
      </c>
      <c r="AC88" s="34" t="s">
        <v>327</v>
      </c>
      <c r="AD88" s="150"/>
    </row>
    <row r="89" spans="2:30" ht="70.2" customHeight="1">
      <c r="B89" s="152"/>
      <c r="C89" s="5" t="s">
        <v>24</v>
      </c>
      <c r="D89" s="5" t="s">
        <v>61</v>
      </c>
      <c r="E89" s="5">
        <v>4</v>
      </c>
      <c r="F89" s="2" t="s">
        <v>26</v>
      </c>
      <c r="G89" s="2" t="s">
        <v>419</v>
      </c>
      <c r="H89" s="4" t="s">
        <v>283</v>
      </c>
      <c r="I89" s="186" t="s">
        <v>434</v>
      </c>
      <c r="J89" s="5" t="s">
        <v>438</v>
      </c>
      <c r="K89" s="5" t="s">
        <v>438</v>
      </c>
      <c r="L89" s="4" t="s">
        <v>354</v>
      </c>
      <c r="M89" s="4" t="s">
        <v>387</v>
      </c>
      <c r="N89" s="5" t="s">
        <v>66</v>
      </c>
      <c r="O89" s="5" t="s">
        <v>33</v>
      </c>
      <c r="P89" s="6" t="s">
        <v>34</v>
      </c>
      <c r="Q89" s="18" t="s">
        <v>35</v>
      </c>
      <c r="R89" s="29">
        <v>1000</v>
      </c>
      <c r="S89" s="114">
        <v>19.100000000000001</v>
      </c>
      <c r="T89" s="8">
        <f t="shared" si="19"/>
        <v>19100</v>
      </c>
      <c r="U89" s="29">
        <v>1000</v>
      </c>
      <c r="V89" s="115">
        <v>19.100000000000001</v>
      </c>
      <c r="W89" s="8">
        <f t="shared" si="24"/>
        <v>19100</v>
      </c>
      <c r="X89" s="29">
        <v>1000</v>
      </c>
      <c r="Y89" s="116">
        <v>19.100000000000001</v>
      </c>
      <c r="Z89" s="8">
        <f t="shared" si="21"/>
        <v>19100</v>
      </c>
      <c r="AA89" s="9">
        <f t="shared" si="18"/>
        <v>57300</v>
      </c>
      <c r="AB89" s="33" t="s">
        <v>53</v>
      </c>
      <c r="AC89" s="34" t="s">
        <v>328</v>
      </c>
      <c r="AD89" s="150"/>
    </row>
    <row r="90" spans="2:30" ht="70.2" customHeight="1">
      <c r="B90" s="152"/>
      <c r="C90" s="5" t="s">
        <v>144</v>
      </c>
      <c r="D90" s="5" t="s">
        <v>145</v>
      </c>
      <c r="E90" s="5">
        <v>2</v>
      </c>
      <c r="F90" s="4" t="s">
        <v>337</v>
      </c>
      <c r="G90" s="2" t="s">
        <v>424</v>
      </c>
      <c r="H90" s="4" t="s">
        <v>229</v>
      </c>
      <c r="I90" s="4" t="s">
        <v>230</v>
      </c>
      <c r="J90" s="4" t="s">
        <v>231</v>
      </c>
      <c r="K90" s="4" t="s">
        <v>49</v>
      </c>
      <c r="L90" s="4" t="s">
        <v>372</v>
      </c>
      <c r="M90" s="4" t="s">
        <v>236</v>
      </c>
      <c r="N90" s="5" t="s">
        <v>32</v>
      </c>
      <c r="O90" s="5" t="s">
        <v>33</v>
      </c>
      <c r="P90" s="6" t="s">
        <v>34</v>
      </c>
      <c r="Q90" s="18" t="s">
        <v>35</v>
      </c>
      <c r="R90" s="29">
        <v>1</v>
      </c>
      <c r="S90" s="8">
        <f>(827801+150836)*1.02</f>
        <v>998209.74</v>
      </c>
      <c r="T90" s="8">
        <f t="shared" si="19"/>
        <v>998209.74</v>
      </c>
      <c r="U90" s="29">
        <v>1</v>
      </c>
      <c r="V90" s="81">
        <f>T90*1.02</f>
        <v>1018173.9348</v>
      </c>
      <c r="W90" s="8">
        <f t="shared" si="24"/>
        <v>1018173.9348</v>
      </c>
      <c r="X90" s="29">
        <v>1</v>
      </c>
      <c r="Y90" s="81">
        <f>W90*1.02</f>
        <v>1038537.4134960001</v>
      </c>
      <c r="Z90" s="8">
        <f t="shared" si="21"/>
        <v>1038537.4134960001</v>
      </c>
      <c r="AA90" s="9">
        <f t="shared" si="18"/>
        <v>3054921.0882960004</v>
      </c>
      <c r="AB90" s="33" t="s">
        <v>34</v>
      </c>
      <c r="AC90" s="34" t="s">
        <v>237</v>
      </c>
      <c r="AD90" s="150"/>
    </row>
    <row r="91" spans="2:30" ht="70.2" customHeight="1">
      <c r="B91" s="152"/>
      <c r="C91" s="5" t="s">
        <v>44</v>
      </c>
      <c r="D91" s="5" t="s">
        <v>221</v>
      </c>
      <c r="E91" s="11">
        <v>4</v>
      </c>
      <c r="F91" s="5" t="s">
        <v>54</v>
      </c>
      <c r="G91" s="175" t="s">
        <v>417</v>
      </c>
      <c r="H91" s="5" t="s">
        <v>238</v>
      </c>
      <c r="I91" s="5" t="s">
        <v>239</v>
      </c>
      <c r="J91" s="11" t="s">
        <v>240</v>
      </c>
      <c r="K91" s="5" t="s">
        <v>241</v>
      </c>
      <c r="L91" s="4" t="s">
        <v>372</v>
      </c>
      <c r="M91" s="4" t="s">
        <v>242</v>
      </c>
      <c r="N91" s="5" t="s">
        <v>315</v>
      </c>
      <c r="O91" s="5" t="s">
        <v>243</v>
      </c>
      <c r="P91" s="6" t="s">
        <v>244</v>
      </c>
      <c r="Q91" s="35" t="s">
        <v>245</v>
      </c>
      <c r="R91" s="36">
        <v>1</v>
      </c>
      <c r="S91" s="37">
        <v>63781.97</v>
      </c>
      <c r="T91" s="8">
        <f>R91*S91</f>
        <v>63781.97</v>
      </c>
      <c r="U91" s="38">
        <v>1</v>
      </c>
      <c r="V91" s="39">
        <v>65753.929999999993</v>
      </c>
      <c r="W91" s="8">
        <f>U91*V91</f>
        <v>65753.929999999993</v>
      </c>
      <c r="X91" s="38">
        <v>1</v>
      </c>
      <c r="Y91" s="38">
        <v>67725.899999999994</v>
      </c>
      <c r="Z91" s="8">
        <f>+X91*Y91</f>
        <v>67725.899999999994</v>
      </c>
      <c r="AA91" s="9">
        <f t="shared" si="18"/>
        <v>197261.8</v>
      </c>
      <c r="AB91" s="14" t="s">
        <v>246</v>
      </c>
      <c r="AC91" s="5" t="s">
        <v>247</v>
      </c>
      <c r="AD91" s="153"/>
    </row>
    <row r="92" spans="2:30" ht="70.2" customHeight="1">
      <c r="B92" s="152"/>
      <c r="C92" s="5" t="s">
        <v>44</v>
      </c>
      <c r="D92" s="5" t="s">
        <v>45</v>
      </c>
      <c r="E92" s="5">
        <v>5</v>
      </c>
      <c r="F92" s="5" t="s">
        <v>54</v>
      </c>
      <c r="G92" s="175" t="s">
        <v>414</v>
      </c>
      <c r="H92" s="5" t="s">
        <v>46</v>
      </c>
      <c r="I92" s="5" t="s">
        <v>248</v>
      </c>
      <c r="J92" s="5" t="s">
        <v>249</v>
      </c>
      <c r="K92" s="35" t="s">
        <v>250</v>
      </c>
      <c r="L92" s="4" t="s">
        <v>372</v>
      </c>
      <c r="M92" s="4" t="s">
        <v>251</v>
      </c>
      <c r="N92" s="5" t="s">
        <v>315</v>
      </c>
      <c r="O92" s="5" t="s">
        <v>252</v>
      </c>
      <c r="P92" s="6" t="s">
        <v>244</v>
      </c>
      <c r="Q92" s="35" t="s">
        <v>245</v>
      </c>
      <c r="R92" s="35">
        <v>1</v>
      </c>
      <c r="S92" s="9">
        <v>431866.4</v>
      </c>
      <c r="T92" s="8">
        <f t="shared" ref="T92:T95" si="25">R92*S92</f>
        <v>431866.4</v>
      </c>
      <c r="U92" s="38">
        <v>1</v>
      </c>
      <c r="V92" s="9">
        <v>475270.88</v>
      </c>
      <c r="W92" s="8">
        <f t="shared" ref="W92:W95" si="26">U92*V92</f>
        <v>475270.88</v>
      </c>
      <c r="X92" s="38">
        <v>1</v>
      </c>
      <c r="Y92" s="8">
        <v>518675.36</v>
      </c>
      <c r="Z92" s="8">
        <f t="shared" ref="Z92:Z95" si="27">+X92*Y92</f>
        <v>518675.36</v>
      </c>
      <c r="AA92" s="9">
        <f t="shared" si="18"/>
        <v>1425812.6400000001</v>
      </c>
      <c r="AB92" s="14" t="s">
        <v>246</v>
      </c>
      <c r="AC92" s="26" t="s">
        <v>253</v>
      </c>
      <c r="AD92" s="153"/>
    </row>
    <row r="93" spans="2:30" ht="70.2" customHeight="1">
      <c r="B93" s="152"/>
      <c r="C93" s="5" t="s">
        <v>44</v>
      </c>
      <c r="D93" s="5" t="s">
        <v>221</v>
      </c>
      <c r="E93" s="11">
        <v>4</v>
      </c>
      <c r="F93" s="5" t="s">
        <v>54</v>
      </c>
      <c r="G93" s="175" t="s">
        <v>417</v>
      </c>
      <c r="H93" s="5" t="s">
        <v>238</v>
      </c>
      <c r="I93" s="5" t="s">
        <v>239</v>
      </c>
      <c r="J93" s="11" t="s">
        <v>240</v>
      </c>
      <c r="K93" s="5" t="s">
        <v>241</v>
      </c>
      <c r="L93" s="4" t="s">
        <v>372</v>
      </c>
      <c r="M93" s="4" t="s">
        <v>254</v>
      </c>
      <c r="N93" s="5" t="s">
        <v>315</v>
      </c>
      <c r="O93" s="5" t="s">
        <v>255</v>
      </c>
      <c r="P93" s="6" t="s">
        <v>244</v>
      </c>
      <c r="Q93" s="5" t="s">
        <v>67</v>
      </c>
      <c r="R93" s="35">
        <v>1</v>
      </c>
      <c r="S93" s="9">
        <v>422756.75</v>
      </c>
      <c r="T93" s="8">
        <f t="shared" si="25"/>
        <v>422756.75</v>
      </c>
      <c r="U93" s="38">
        <v>1</v>
      </c>
      <c r="V93" s="41">
        <v>1391</v>
      </c>
      <c r="W93" s="8">
        <f t="shared" si="26"/>
        <v>1391</v>
      </c>
      <c r="X93" s="38">
        <v>1</v>
      </c>
      <c r="Y93" s="8">
        <v>1058608.8500000001</v>
      </c>
      <c r="Z93" s="8">
        <f t="shared" si="27"/>
        <v>1058608.8500000001</v>
      </c>
      <c r="AA93" s="9">
        <f t="shared" si="18"/>
        <v>1482756.6</v>
      </c>
      <c r="AB93" s="14" t="s">
        <v>246</v>
      </c>
      <c r="AC93" s="26" t="s">
        <v>256</v>
      </c>
      <c r="AD93" s="153"/>
    </row>
    <row r="94" spans="2:30" ht="70.2" customHeight="1">
      <c r="B94" s="152"/>
      <c r="C94" s="5" t="s">
        <v>44</v>
      </c>
      <c r="D94" s="5" t="s">
        <v>221</v>
      </c>
      <c r="E94" s="11">
        <v>1</v>
      </c>
      <c r="F94" s="5" t="s">
        <v>54</v>
      </c>
      <c r="G94" s="175" t="s">
        <v>414</v>
      </c>
      <c r="H94" s="5" t="s">
        <v>46</v>
      </c>
      <c r="I94" s="5" t="s">
        <v>248</v>
      </c>
      <c r="J94" s="5" t="s">
        <v>87</v>
      </c>
      <c r="K94" s="5" t="s">
        <v>82</v>
      </c>
      <c r="L94" s="4" t="s">
        <v>372</v>
      </c>
      <c r="M94" s="4" t="s">
        <v>373</v>
      </c>
      <c r="N94" s="5" t="s">
        <v>315</v>
      </c>
      <c r="O94" s="5" t="s">
        <v>257</v>
      </c>
      <c r="P94" s="6" t="s">
        <v>244</v>
      </c>
      <c r="Q94" s="5" t="s">
        <v>245</v>
      </c>
      <c r="R94" s="36">
        <v>1</v>
      </c>
      <c r="S94" s="41">
        <v>32237.03</v>
      </c>
      <c r="T94" s="8">
        <f t="shared" si="25"/>
        <v>32237.03</v>
      </c>
      <c r="U94" s="38">
        <v>1</v>
      </c>
      <c r="V94" s="42">
        <f>30205.54</f>
        <v>30205.54</v>
      </c>
      <c r="W94" s="8">
        <f t="shared" si="26"/>
        <v>30205.54</v>
      </c>
      <c r="X94" s="38">
        <v>1</v>
      </c>
      <c r="Y94" s="39">
        <v>28174.06</v>
      </c>
      <c r="Z94" s="8">
        <f t="shared" si="27"/>
        <v>28174.06</v>
      </c>
      <c r="AA94" s="9">
        <f t="shared" si="18"/>
        <v>90616.63</v>
      </c>
      <c r="AB94" s="14" t="s">
        <v>246</v>
      </c>
      <c r="AC94" s="26" t="s">
        <v>258</v>
      </c>
      <c r="AD94" s="153"/>
    </row>
    <row r="95" spans="2:30" ht="70.2" customHeight="1">
      <c r="B95" s="152"/>
      <c r="C95" s="5" t="s">
        <v>44</v>
      </c>
      <c r="D95" s="5" t="s">
        <v>221</v>
      </c>
      <c r="E95" s="11">
        <v>1</v>
      </c>
      <c r="F95" s="5" t="s">
        <v>54</v>
      </c>
      <c r="G95" s="175" t="s">
        <v>417</v>
      </c>
      <c r="H95" s="5" t="s">
        <v>240</v>
      </c>
      <c r="I95" s="5" t="s">
        <v>241</v>
      </c>
      <c r="J95" s="5" t="s">
        <v>48</v>
      </c>
      <c r="K95" s="5" t="s">
        <v>82</v>
      </c>
      <c r="L95" s="4" t="s">
        <v>372</v>
      </c>
      <c r="M95" s="4" t="s">
        <v>259</v>
      </c>
      <c r="N95" s="5" t="s">
        <v>315</v>
      </c>
      <c r="O95" s="5" t="s">
        <v>257</v>
      </c>
      <c r="P95" s="6" t="s">
        <v>244</v>
      </c>
      <c r="Q95" s="5" t="s">
        <v>260</v>
      </c>
      <c r="R95" s="36">
        <v>1</v>
      </c>
      <c r="S95" s="39">
        <v>2255273.5099999998</v>
      </c>
      <c r="T95" s="8">
        <f t="shared" si="25"/>
        <v>2255273.5099999998</v>
      </c>
      <c r="U95" s="38">
        <v>1</v>
      </c>
      <c r="V95" s="39">
        <v>2498937.19</v>
      </c>
      <c r="W95" s="8">
        <f t="shared" si="26"/>
        <v>2498937.19</v>
      </c>
      <c r="X95" s="38">
        <v>1</v>
      </c>
      <c r="Y95" s="39">
        <v>2742600.87</v>
      </c>
      <c r="Z95" s="8">
        <f t="shared" si="27"/>
        <v>2742600.87</v>
      </c>
      <c r="AA95" s="9">
        <f t="shared" si="18"/>
        <v>7496811.5699999994</v>
      </c>
      <c r="AB95" s="14" t="s">
        <v>246</v>
      </c>
      <c r="AC95" s="26" t="s">
        <v>261</v>
      </c>
      <c r="AD95" s="153"/>
    </row>
    <row r="96" spans="2:30" ht="70.2" customHeight="1">
      <c r="B96" s="152"/>
      <c r="C96" s="5" t="s">
        <v>24</v>
      </c>
      <c r="D96" s="5" t="s">
        <v>25</v>
      </c>
      <c r="E96" s="11">
        <v>1</v>
      </c>
      <c r="F96" s="2" t="s">
        <v>26</v>
      </c>
      <c r="G96" s="2" t="s">
        <v>410</v>
      </c>
      <c r="H96" s="2" t="s">
        <v>336</v>
      </c>
      <c r="I96" s="83" t="s">
        <v>47</v>
      </c>
      <c r="J96" s="43" t="s">
        <v>29</v>
      </c>
      <c r="K96" s="2" t="s">
        <v>263</v>
      </c>
      <c r="L96" s="4" t="s">
        <v>350</v>
      </c>
      <c r="M96" s="4" t="s">
        <v>264</v>
      </c>
      <c r="N96" s="5" t="s">
        <v>265</v>
      </c>
      <c r="O96" s="5"/>
      <c r="P96" s="6" t="s">
        <v>265</v>
      </c>
      <c r="Q96" s="87"/>
      <c r="R96" s="11">
        <v>1</v>
      </c>
      <c r="S96" s="44">
        <f>304951.4+213600+1815</f>
        <v>520366.4</v>
      </c>
      <c r="T96" s="8">
        <f t="shared" si="19"/>
        <v>520366.4</v>
      </c>
      <c r="U96" s="11">
        <v>1</v>
      </c>
      <c r="V96" s="45">
        <f>T96*1.05</f>
        <v>546384.72000000009</v>
      </c>
      <c r="W96" s="8">
        <f t="shared" si="20"/>
        <v>546384.72000000009</v>
      </c>
      <c r="X96" s="11">
        <v>1</v>
      </c>
      <c r="Y96" s="45">
        <f>W96+1.05</f>
        <v>546385.77000000014</v>
      </c>
      <c r="Z96" s="8">
        <f t="shared" si="21"/>
        <v>546385.77000000014</v>
      </c>
      <c r="AA96" s="9">
        <f t="shared" si="18"/>
        <v>1613136.8900000001</v>
      </c>
      <c r="AB96" s="46" t="s">
        <v>265</v>
      </c>
      <c r="AC96" s="4" t="s">
        <v>266</v>
      </c>
      <c r="AD96" s="152"/>
    </row>
    <row r="97" spans="2:30" ht="70.2" customHeight="1">
      <c r="B97" s="152"/>
      <c r="C97" s="5" t="s">
        <v>24</v>
      </c>
      <c r="D97" s="5" t="s">
        <v>25</v>
      </c>
      <c r="E97" s="11">
        <v>1</v>
      </c>
      <c r="F97" s="2" t="s">
        <v>26</v>
      </c>
      <c r="G97" s="175" t="s">
        <v>416</v>
      </c>
      <c r="H97" s="2" t="s">
        <v>262</v>
      </c>
      <c r="I97" s="83" t="s">
        <v>47</v>
      </c>
      <c r="J97" s="43" t="s">
        <v>267</v>
      </c>
      <c r="K97" s="2" t="s">
        <v>268</v>
      </c>
      <c r="L97" s="4" t="s">
        <v>356</v>
      </c>
      <c r="M97" s="4" t="s">
        <v>269</v>
      </c>
      <c r="N97" s="5" t="s">
        <v>265</v>
      </c>
      <c r="O97" s="5"/>
      <c r="P97" s="6" t="s">
        <v>265</v>
      </c>
      <c r="Q97" s="87"/>
      <c r="R97" s="11">
        <v>1</v>
      </c>
      <c r="S97" s="44">
        <f>638222.4+15459.8+560640</f>
        <v>1214322.2000000002</v>
      </c>
      <c r="T97" s="8">
        <f t="shared" si="19"/>
        <v>1214322.2000000002</v>
      </c>
      <c r="U97" s="11">
        <v>1</v>
      </c>
      <c r="V97" s="45">
        <f>T97*1.05</f>
        <v>1275038.3100000003</v>
      </c>
      <c r="W97" s="8">
        <f t="shared" si="20"/>
        <v>1275038.3100000003</v>
      </c>
      <c r="X97" s="11">
        <v>1</v>
      </c>
      <c r="Y97" s="117">
        <f>W97*1.05</f>
        <v>1338790.2255000004</v>
      </c>
      <c r="Z97" s="8">
        <f t="shared" si="21"/>
        <v>1338790.2255000004</v>
      </c>
      <c r="AA97" s="9">
        <f t="shared" si="18"/>
        <v>3828150.7355000013</v>
      </c>
      <c r="AB97" s="46" t="s">
        <v>265</v>
      </c>
      <c r="AC97" s="4" t="s">
        <v>270</v>
      </c>
      <c r="AD97" s="152"/>
    </row>
    <row r="98" spans="2:30" ht="70.2" customHeight="1">
      <c r="B98" s="152"/>
      <c r="C98" s="5" t="s">
        <v>24</v>
      </c>
      <c r="D98" s="5" t="s">
        <v>25</v>
      </c>
      <c r="E98" s="11">
        <v>1</v>
      </c>
      <c r="F98" s="2" t="s">
        <v>26</v>
      </c>
      <c r="G98" s="2" t="s">
        <v>410</v>
      </c>
      <c r="H98" s="2" t="s">
        <v>336</v>
      </c>
      <c r="I98" s="2" t="s">
        <v>410</v>
      </c>
      <c r="J98" s="2" t="s">
        <v>410</v>
      </c>
      <c r="K98" s="2" t="s">
        <v>410</v>
      </c>
      <c r="L98" s="4" t="s">
        <v>350</v>
      </c>
      <c r="M98" s="4" t="s">
        <v>338</v>
      </c>
      <c r="N98" s="5" t="s">
        <v>265</v>
      </c>
      <c r="O98" s="5"/>
      <c r="P98" s="6" t="s">
        <v>265</v>
      </c>
      <c r="Q98" s="87"/>
      <c r="R98" s="11">
        <v>1</v>
      </c>
      <c r="S98" s="44">
        <v>8421.64</v>
      </c>
      <c r="T98" s="8">
        <f t="shared" si="19"/>
        <v>8421.64</v>
      </c>
      <c r="U98" s="11">
        <v>1</v>
      </c>
      <c r="V98" s="44">
        <f>T98*1.05</f>
        <v>8842.7219999999998</v>
      </c>
      <c r="W98" s="8">
        <f t="shared" si="20"/>
        <v>8842.7219999999998</v>
      </c>
      <c r="X98" s="11">
        <v>1</v>
      </c>
      <c r="Y98" s="44">
        <f>W98*1.05</f>
        <v>9284.8580999999995</v>
      </c>
      <c r="Z98" s="8">
        <f t="shared" si="21"/>
        <v>9284.8580999999995</v>
      </c>
      <c r="AA98" s="9">
        <f t="shared" si="18"/>
        <v>26549.220099999999</v>
      </c>
      <c r="AB98" s="46" t="s">
        <v>265</v>
      </c>
      <c r="AC98" s="4" t="s">
        <v>271</v>
      </c>
      <c r="AD98" s="152"/>
    </row>
    <row r="99" spans="2:30" ht="82.8" customHeight="1">
      <c r="B99" s="152"/>
      <c r="C99" s="5" t="s">
        <v>24</v>
      </c>
      <c r="D99" s="5" t="s">
        <v>25</v>
      </c>
      <c r="E99" s="11">
        <v>9</v>
      </c>
      <c r="F99" s="2" t="s">
        <v>26</v>
      </c>
      <c r="G99" s="2" t="s">
        <v>425</v>
      </c>
      <c r="H99" s="2" t="s">
        <v>336</v>
      </c>
      <c r="I99" s="102" t="s">
        <v>47</v>
      </c>
      <c r="J99" s="43" t="s">
        <v>29</v>
      </c>
      <c r="K99" s="2" t="s">
        <v>263</v>
      </c>
      <c r="L99" s="4" t="s">
        <v>375</v>
      </c>
      <c r="M99" s="4" t="s">
        <v>272</v>
      </c>
      <c r="N99" s="5" t="s">
        <v>265</v>
      </c>
      <c r="O99" s="5"/>
      <c r="P99" s="6" t="s">
        <v>265</v>
      </c>
      <c r="Q99" s="87"/>
      <c r="R99" s="11">
        <v>1</v>
      </c>
      <c r="S99" s="44">
        <f>65194.8+1032.8+5840+600+1240</f>
        <v>73907.600000000006</v>
      </c>
      <c r="T99" s="8">
        <f t="shared" si="19"/>
        <v>73907.600000000006</v>
      </c>
      <c r="U99" s="11">
        <v>1</v>
      </c>
      <c r="V99" s="44">
        <f>T99*1.05</f>
        <v>77602.98000000001</v>
      </c>
      <c r="W99" s="8">
        <f t="shared" si="20"/>
        <v>77602.98000000001</v>
      </c>
      <c r="X99" s="11">
        <v>1</v>
      </c>
      <c r="Y99" s="44">
        <f>W99*1.05</f>
        <v>81483.129000000015</v>
      </c>
      <c r="Z99" s="8">
        <f t="shared" si="21"/>
        <v>81483.129000000015</v>
      </c>
      <c r="AA99" s="9">
        <f t="shared" si="18"/>
        <v>232993.70900000003</v>
      </c>
      <c r="AB99" s="46" t="s">
        <v>265</v>
      </c>
      <c r="AC99" s="4" t="s">
        <v>273</v>
      </c>
      <c r="AD99" s="152"/>
    </row>
    <row r="100" spans="2:30" ht="132.6" customHeight="1">
      <c r="B100" s="152"/>
      <c r="C100" s="5" t="s">
        <v>24</v>
      </c>
      <c r="D100" s="5" t="s">
        <v>25</v>
      </c>
      <c r="E100" s="11">
        <v>4</v>
      </c>
      <c r="F100" s="2" t="s">
        <v>26</v>
      </c>
      <c r="G100" s="2" t="s">
        <v>410</v>
      </c>
      <c r="H100" s="48" t="s">
        <v>274</v>
      </c>
      <c r="I100" s="49" t="s">
        <v>275</v>
      </c>
      <c r="J100" s="50" t="s">
        <v>276</v>
      </c>
      <c r="K100" s="102" t="s">
        <v>203</v>
      </c>
      <c r="L100" s="4" t="s">
        <v>375</v>
      </c>
      <c r="M100" s="52" t="s">
        <v>388</v>
      </c>
      <c r="N100" s="53" t="s">
        <v>277</v>
      </c>
      <c r="O100" s="53" t="s">
        <v>278</v>
      </c>
      <c r="P100" s="54" t="s">
        <v>52</v>
      </c>
      <c r="Q100" s="55" t="s">
        <v>35</v>
      </c>
      <c r="R100" s="56">
        <f>2590*4</f>
        <v>10360</v>
      </c>
      <c r="S100" s="8">
        <v>14</v>
      </c>
      <c r="T100" s="8">
        <f>R100*S100</f>
        <v>145040</v>
      </c>
      <c r="U100" s="56">
        <f>2590*4</f>
        <v>10360</v>
      </c>
      <c r="V100" s="8">
        <v>14</v>
      </c>
      <c r="W100" s="8">
        <f>+U100*V100</f>
        <v>145040</v>
      </c>
      <c r="X100" s="56">
        <f>2589*4</f>
        <v>10356</v>
      </c>
      <c r="Y100" s="8">
        <v>14</v>
      </c>
      <c r="Z100" s="8">
        <f>+X100*Y100</f>
        <v>144984</v>
      </c>
      <c r="AA100" s="9">
        <f t="shared" si="18"/>
        <v>435064</v>
      </c>
      <c r="AB100" s="58" t="s">
        <v>41</v>
      </c>
      <c r="AC100" s="59" t="s">
        <v>341</v>
      </c>
      <c r="AD100" s="152"/>
    </row>
    <row r="101" spans="2:30" ht="94.2" customHeight="1">
      <c r="B101" s="152"/>
      <c r="C101" s="47" t="s">
        <v>44</v>
      </c>
      <c r="D101" s="47" t="s">
        <v>221</v>
      </c>
      <c r="E101" s="11">
        <v>4</v>
      </c>
      <c r="F101" s="2" t="s">
        <v>26</v>
      </c>
      <c r="G101" s="2" t="s">
        <v>410</v>
      </c>
      <c r="H101" s="48" t="s">
        <v>274</v>
      </c>
      <c r="I101" s="49" t="s">
        <v>275</v>
      </c>
      <c r="J101" s="50" t="s">
        <v>276</v>
      </c>
      <c r="K101" s="102" t="s">
        <v>203</v>
      </c>
      <c r="L101" s="4" t="s">
        <v>375</v>
      </c>
      <c r="M101" s="52" t="s">
        <v>388</v>
      </c>
      <c r="N101" s="53" t="s">
        <v>277</v>
      </c>
      <c r="O101" s="53" t="s">
        <v>278</v>
      </c>
      <c r="P101" s="6" t="s">
        <v>43</v>
      </c>
      <c r="Q101" s="55" t="s">
        <v>35</v>
      </c>
      <c r="R101" s="7">
        <v>0</v>
      </c>
      <c r="S101" s="8">
        <v>0</v>
      </c>
      <c r="T101" s="8">
        <f t="shared" ref="T101" si="28">R101*S101</f>
        <v>0</v>
      </c>
      <c r="U101" s="7"/>
      <c r="V101" s="8">
        <v>0</v>
      </c>
      <c r="W101" s="8">
        <f t="shared" ref="W101" si="29">+U101*V101</f>
        <v>0</v>
      </c>
      <c r="X101" s="7"/>
      <c r="Y101" s="8">
        <v>0</v>
      </c>
      <c r="Z101" s="8">
        <f t="shared" ref="Z101" si="30">+X101*Y101</f>
        <v>0</v>
      </c>
      <c r="AA101" s="9">
        <f t="shared" si="18"/>
        <v>0</v>
      </c>
      <c r="AB101" s="58" t="s">
        <v>41</v>
      </c>
      <c r="AC101" s="59" t="s">
        <v>301</v>
      </c>
      <c r="AD101" s="152"/>
    </row>
    <row r="102" spans="2:30" ht="70.8" customHeight="1">
      <c r="B102" s="152"/>
      <c r="C102" s="47" t="s">
        <v>44</v>
      </c>
      <c r="D102" s="47" t="s">
        <v>221</v>
      </c>
      <c r="E102" s="11">
        <v>4</v>
      </c>
      <c r="F102" s="2" t="s">
        <v>26</v>
      </c>
      <c r="G102" s="2" t="s">
        <v>410</v>
      </c>
      <c r="H102" s="48" t="s">
        <v>274</v>
      </c>
      <c r="I102" s="49" t="s">
        <v>279</v>
      </c>
      <c r="J102" s="50" t="s">
        <v>276</v>
      </c>
      <c r="K102" s="102" t="s">
        <v>203</v>
      </c>
      <c r="L102" s="51" t="s">
        <v>374</v>
      </c>
      <c r="M102" s="52" t="s">
        <v>326</v>
      </c>
      <c r="N102" s="52" t="s">
        <v>277</v>
      </c>
      <c r="O102" s="53"/>
      <c r="P102" s="54" t="s">
        <v>34</v>
      </c>
      <c r="Q102" s="55" t="s">
        <v>35</v>
      </c>
      <c r="R102" s="56">
        <v>7722</v>
      </c>
      <c r="S102" s="8">
        <v>14</v>
      </c>
      <c r="T102" s="8">
        <f>R102*S102</f>
        <v>108108</v>
      </c>
      <c r="U102" s="56">
        <v>7722</v>
      </c>
      <c r="V102" s="8">
        <v>14</v>
      </c>
      <c r="W102" s="8">
        <f>+U102*V102</f>
        <v>108108</v>
      </c>
      <c r="X102" s="56">
        <v>7722</v>
      </c>
      <c r="Y102" s="8">
        <v>14</v>
      </c>
      <c r="Z102" s="8">
        <f>+X102*Y102</f>
        <v>108108</v>
      </c>
      <c r="AA102" s="9">
        <f t="shared" si="18"/>
        <v>324324</v>
      </c>
      <c r="AB102" s="58" t="s">
        <v>41</v>
      </c>
      <c r="AC102" s="59" t="s">
        <v>302</v>
      </c>
      <c r="AD102" s="152"/>
    </row>
    <row r="103" spans="2:30" ht="70.2" customHeight="1">
      <c r="B103" s="152"/>
      <c r="C103" s="5" t="s">
        <v>24</v>
      </c>
      <c r="D103" s="5" t="s">
        <v>25</v>
      </c>
      <c r="E103" s="11">
        <v>5</v>
      </c>
      <c r="F103" s="2" t="s">
        <v>26</v>
      </c>
      <c r="G103" s="2" t="s">
        <v>410</v>
      </c>
      <c r="H103" s="2" t="s">
        <v>336</v>
      </c>
      <c r="I103" s="83" t="s">
        <v>47</v>
      </c>
      <c r="J103" s="43" t="s">
        <v>29</v>
      </c>
      <c r="K103" s="2" t="s">
        <v>263</v>
      </c>
      <c r="L103" s="4" t="s">
        <v>350</v>
      </c>
      <c r="M103" s="4" t="s">
        <v>280</v>
      </c>
      <c r="N103" s="5" t="s">
        <v>265</v>
      </c>
      <c r="O103" s="5"/>
      <c r="P103" s="6" t="s">
        <v>265</v>
      </c>
      <c r="Q103" s="87"/>
      <c r="R103" s="11">
        <v>1</v>
      </c>
      <c r="S103" s="44">
        <v>10000</v>
      </c>
      <c r="T103" s="8">
        <f t="shared" si="19"/>
        <v>10000</v>
      </c>
      <c r="U103" s="11">
        <v>1</v>
      </c>
      <c r="V103" s="44">
        <f>T103*1.05</f>
        <v>10500</v>
      </c>
      <c r="W103" s="8">
        <f t="shared" si="20"/>
        <v>10500</v>
      </c>
      <c r="X103" s="11">
        <v>1</v>
      </c>
      <c r="Y103" s="44">
        <f>W103*1.05</f>
        <v>11025</v>
      </c>
      <c r="Z103" s="8">
        <f t="shared" si="21"/>
        <v>11025</v>
      </c>
      <c r="AA103" s="9">
        <f t="shared" si="18"/>
        <v>31525</v>
      </c>
      <c r="AB103" s="46" t="s">
        <v>265</v>
      </c>
      <c r="AC103" s="59" t="s">
        <v>317</v>
      </c>
      <c r="AD103" s="152"/>
    </row>
    <row r="104" spans="2:30" ht="70.2" customHeight="1">
      <c r="B104" s="152"/>
      <c r="C104" s="61"/>
      <c r="D104" s="61"/>
      <c r="E104" s="62"/>
      <c r="F104" s="60"/>
      <c r="G104" s="60"/>
      <c r="H104" s="60"/>
      <c r="I104" s="60"/>
      <c r="J104" s="60"/>
      <c r="K104" s="60"/>
      <c r="L104" s="60"/>
      <c r="M104" s="63"/>
      <c r="N104" s="64"/>
      <c r="O104" s="60"/>
      <c r="P104" s="6"/>
      <c r="Q104" s="62"/>
      <c r="R104" s="62"/>
      <c r="S104" s="62"/>
      <c r="T104" s="65">
        <f>+SUM(T3:T103)</f>
        <v>19173282.1054</v>
      </c>
      <c r="U104" s="62"/>
      <c r="V104" s="62"/>
      <c r="W104" s="65">
        <f>+SUM(W3:W103)</f>
        <v>20112191.2337</v>
      </c>
      <c r="X104" s="62"/>
      <c r="Y104" s="62"/>
      <c r="Z104" s="65">
        <f>+SUM(Z3:Z103)</f>
        <v>21043548.759137005</v>
      </c>
      <c r="AA104" s="9">
        <f t="shared" si="18"/>
        <v>60329022.098237008</v>
      </c>
      <c r="AB104" s="67"/>
      <c r="AC104" s="17"/>
      <c r="AD104" s="150"/>
    </row>
    <row r="105" spans="2:30" ht="70.2" customHeight="1">
      <c r="C105" s="68"/>
      <c r="D105" s="68"/>
      <c r="E105" s="68"/>
      <c r="F105" s="1"/>
      <c r="G105" s="1"/>
      <c r="H105" s="1"/>
      <c r="I105" s="1"/>
      <c r="J105" s="68"/>
      <c r="K105" s="1"/>
      <c r="L105" s="1"/>
      <c r="M105" s="90"/>
      <c r="N105" s="27"/>
      <c r="O105" s="1"/>
      <c r="P105" s="69"/>
      <c r="Q105" s="88"/>
      <c r="R105" s="1"/>
      <c r="S105" s="70"/>
      <c r="T105" s="1"/>
      <c r="U105" s="1"/>
      <c r="V105" s="70"/>
      <c r="W105" s="1"/>
      <c r="X105" s="1"/>
      <c r="Y105" s="70"/>
      <c r="Z105" s="1"/>
      <c r="AA105" s="71"/>
      <c r="AB105" s="1"/>
      <c r="AC105" s="72"/>
      <c r="AD105" s="1"/>
    </row>
    <row r="106" spans="2:30" ht="70.2" customHeight="1">
      <c r="B106" s="189" t="s">
        <v>405</v>
      </c>
      <c r="C106" s="189"/>
      <c r="D106" s="189"/>
      <c r="E106" s="189"/>
      <c r="F106" s="189"/>
      <c r="G106" s="189"/>
      <c r="H106" s="189"/>
      <c r="I106" s="189"/>
      <c r="J106" s="189"/>
      <c r="K106" s="189"/>
      <c r="L106" s="189"/>
      <c r="M106" s="189"/>
      <c r="N106" s="189"/>
      <c r="O106" s="189"/>
      <c r="P106" s="189"/>
      <c r="Q106" s="189"/>
      <c r="R106" s="189"/>
      <c r="S106" s="189"/>
      <c r="T106" s="154">
        <f>SUBTOTAL(9,T4:T105)</f>
        <v>38336564.2108</v>
      </c>
      <c r="U106" s="154"/>
      <c r="V106" s="154"/>
      <c r="W106" s="154">
        <f>SUBTOTAL(9,W4:W105)</f>
        <v>40214382.467399999</v>
      </c>
      <c r="X106" s="154"/>
      <c r="Y106" s="154"/>
      <c r="Z106" s="154">
        <f>SUBTOTAL(9,Z4:Z105)</f>
        <v>42077097.518274009</v>
      </c>
      <c r="AA106" s="154">
        <f>SUBTOTAL(9,AA4:AA105)</f>
        <v>120628044.19647402</v>
      </c>
      <c r="AB106" s="1"/>
      <c r="AC106" s="72"/>
      <c r="AD106" s="1"/>
    </row>
    <row r="107" spans="2:30" ht="39.6" customHeight="1">
      <c r="C107" s="68"/>
      <c r="D107" s="68"/>
      <c r="E107" s="68"/>
      <c r="F107" s="1"/>
      <c r="G107" s="1"/>
      <c r="H107" s="1"/>
      <c r="I107" s="1"/>
      <c r="J107" s="68"/>
      <c r="K107" s="1"/>
      <c r="L107" s="1"/>
      <c r="M107" s="90"/>
      <c r="N107" s="27"/>
      <c r="O107" s="1"/>
      <c r="P107" s="69"/>
      <c r="Q107" s="88"/>
      <c r="R107" s="68"/>
      <c r="S107" s="70"/>
      <c r="T107" s="155">
        <f>T106/AA106</f>
        <v>0.31780805588092742</v>
      </c>
      <c r="U107" s="155"/>
      <c r="V107" s="155"/>
      <c r="W107" s="155">
        <f>W106/AA106</f>
        <v>0.33337506825444718</v>
      </c>
      <c r="X107" s="155"/>
      <c r="Y107" s="155"/>
      <c r="Z107" s="155">
        <f>Z106/AA106</f>
        <v>0.34881687586462529</v>
      </c>
      <c r="AA107" s="155">
        <v>1</v>
      </c>
      <c r="AB107" s="1"/>
      <c r="AC107" s="72"/>
      <c r="AD107" s="1"/>
    </row>
    <row r="108" spans="2:30" ht="45" customHeight="1">
      <c r="B108" s="190" t="s">
        <v>405</v>
      </c>
      <c r="C108" s="190"/>
      <c r="D108" s="190"/>
      <c r="E108" s="190"/>
      <c r="F108" s="190"/>
      <c r="G108" s="190"/>
      <c r="H108" s="190"/>
      <c r="I108" s="190"/>
      <c r="J108" s="190"/>
      <c r="K108" s="190"/>
      <c r="L108" s="190"/>
      <c r="M108" s="190"/>
      <c r="N108" s="190"/>
      <c r="O108" s="190"/>
      <c r="P108" s="190"/>
      <c r="Q108" s="190"/>
      <c r="R108" s="190"/>
      <c r="S108" s="168"/>
      <c r="T108" s="172">
        <f>+T84+T75+T74+T71+T70+T69+T68+T62+T61+T58+T48+T46+T44+T42+T39+T36+T33+T31+T26+T24+T23+T20+T15+T12+T9+T7+T4</f>
        <v>685630.48340000003</v>
      </c>
      <c r="U108" s="150"/>
      <c r="V108" s="168"/>
      <c r="W108" s="172">
        <f>+W84+W75+W74+W71+W70+W69+W68+W62+W61+W58+W48+W46+W44+W42+W39+W36+W33+W31+W26+W24+W23+W20+W15+W12+W9+W7+W4</f>
        <v>1003222.8836000001</v>
      </c>
      <c r="X108" s="150"/>
      <c r="Y108" s="168"/>
      <c r="Z108" s="172">
        <f>+Z84+Z75+Z74+Z71+Z70+Z69+Z68+Z62+Z61+Z58+Z48+Z46+Z44+Z42+Z39+Z36+Z33+Z31+Z26+Z24+Z23+Z20+Z15+Z12+Z9+Z7+Z4</f>
        <v>532891.63300000003</v>
      </c>
      <c r="AA108" s="172">
        <f>+AA84+AA75+AA74+AA71+AA70+AA69+AA68+AA62+AA61+AA58+AA48+AA46+AA44+AA42+AA39+AA36+AA33+AA31+AA26+AA24+AA23+AA20+AA15+AA12+AA9+AA7+AA4</f>
        <v>2221745</v>
      </c>
      <c r="AB108" s="150"/>
      <c r="AC108" s="169"/>
      <c r="AD108" s="150"/>
    </row>
    <row r="109" spans="2:30" ht="33" customHeight="1">
      <c r="C109" s="68"/>
      <c r="D109" s="68"/>
      <c r="E109" s="68"/>
      <c r="F109" s="1"/>
      <c r="G109" s="1"/>
      <c r="H109" s="1"/>
      <c r="I109" s="1"/>
      <c r="J109" s="68"/>
      <c r="K109" s="1"/>
      <c r="L109" s="1"/>
      <c r="M109" s="90"/>
      <c r="N109" s="27"/>
      <c r="O109" s="1"/>
      <c r="P109" s="69"/>
      <c r="Q109" s="88"/>
      <c r="R109" s="68"/>
      <c r="S109" s="70"/>
      <c r="T109" s="170">
        <f>T108/AA108</f>
        <v>0.30859998937771888</v>
      </c>
      <c r="U109" s="170"/>
      <c r="V109" s="170"/>
      <c r="W109" s="170">
        <f>W108/AA108</f>
        <v>0.45154726739567325</v>
      </c>
      <c r="X109" s="170"/>
      <c r="Y109" s="170"/>
      <c r="Z109" s="170">
        <f>Z108/AA108</f>
        <v>0.23985274322660793</v>
      </c>
      <c r="AA109" s="170">
        <v>1</v>
      </c>
      <c r="AB109" s="1"/>
      <c r="AC109" s="72"/>
      <c r="AD109" s="1"/>
    </row>
    <row r="110" spans="2:30" ht="70.2" customHeight="1">
      <c r="C110" s="68"/>
      <c r="D110" s="68"/>
      <c r="E110" s="68"/>
      <c r="F110" s="1"/>
      <c r="G110" s="1"/>
      <c r="H110" s="1"/>
      <c r="I110" s="1"/>
      <c r="J110" s="68"/>
      <c r="K110" s="1"/>
      <c r="L110" s="1"/>
      <c r="M110" s="90"/>
      <c r="N110" s="27"/>
      <c r="O110" s="1"/>
      <c r="P110" s="69"/>
      <c r="Q110" s="88"/>
      <c r="R110" s="68"/>
      <c r="S110" s="70"/>
      <c r="T110" s="1"/>
      <c r="U110" s="1"/>
      <c r="V110" s="70"/>
      <c r="W110" s="1"/>
      <c r="X110" s="1"/>
      <c r="Y110" s="70"/>
      <c r="Z110" s="1"/>
      <c r="AA110" s="71"/>
      <c r="AB110" s="1"/>
      <c r="AC110" s="72"/>
      <c r="AD110" s="1"/>
    </row>
    <row r="111" spans="2:30" ht="70.2" customHeight="1">
      <c r="C111" s="73"/>
      <c r="D111" s="73"/>
      <c r="E111" s="73"/>
      <c r="F111" s="74"/>
      <c r="G111" s="74"/>
      <c r="H111" s="74"/>
      <c r="I111" s="74"/>
      <c r="J111" s="73"/>
      <c r="K111" s="74"/>
      <c r="L111" s="74"/>
      <c r="M111" s="91"/>
      <c r="N111" s="75"/>
      <c r="O111" s="74"/>
      <c r="P111" s="76"/>
      <c r="Q111" s="89"/>
      <c r="R111" s="73"/>
      <c r="S111" s="77"/>
      <c r="T111" s="77">
        <v>19616697.859999999</v>
      </c>
      <c r="U111" s="77"/>
      <c r="V111" s="77"/>
      <c r="W111" s="77">
        <v>20323660.77</v>
      </c>
      <c r="X111" s="77"/>
      <c r="Y111" s="77"/>
      <c r="Z111" s="77">
        <v>21403090.199999999</v>
      </c>
      <c r="AA111" s="65">
        <v>106365513.76000001</v>
      </c>
      <c r="AB111" s="65">
        <v>106218536.78</v>
      </c>
      <c r="AC111" s="65"/>
      <c r="AD111" s="1"/>
    </row>
    <row r="112" spans="2:30" ht="70.2" customHeight="1">
      <c r="AA112" s="119">
        <f>+AA104-AA111</f>
        <v>-46036491.661762998</v>
      </c>
    </row>
  </sheetData>
  <autoFilter ref="C2:AD109" xr:uid="{779B5A8B-7634-4D59-939E-9085E5ADEC48}"/>
  <mergeCells count="3">
    <mergeCell ref="C1:AC1"/>
    <mergeCell ref="B106:S106"/>
    <mergeCell ref="B108:R10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CA07-302E-42F7-88EE-02345EB684D5}">
  <dimension ref="D5:D23"/>
  <sheetViews>
    <sheetView workbookViewId="0">
      <selection activeCell="D23" sqref="D23"/>
    </sheetView>
  </sheetViews>
  <sheetFormatPr baseColWidth="10" defaultRowHeight="14.4"/>
  <cols>
    <col min="4" max="4" width="13.6640625" bestFit="1" customWidth="1"/>
  </cols>
  <sheetData>
    <row r="5" spans="4:4">
      <c r="D5" s="98">
        <v>2221745</v>
      </c>
    </row>
    <row r="6" spans="4:4">
      <c r="D6" s="98">
        <f>+'PRESUPUESTO DETALLADO PENM TB'!AH105</f>
        <v>2164069.2999999998</v>
      </c>
    </row>
    <row r="7" spans="4:4">
      <c r="D7" s="98">
        <f>+D5-D6</f>
        <v>57675.700000000186</v>
      </c>
    </row>
    <row r="8" spans="4:4">
      <c r="D8" s="98"/>
    </row>
    <row r="9" spans="4:4">
      <c r="D9" s="98">
        <f>+D5-D6</f>
        <v>57675.700000000186</v>
      </c>
    </row>
    <row r="10" spans="4:4">
      <c r="D10" s="98"/>
    </row>
    <row r="11" spans="4:4">
      <c r="D11" s="98">
        <f>+D9/3</f>
        <v>19225.233333333395</v>
      </c>
    </row>
    <row r="12" spans="4:4">
      <c r="D12" s="98"/>
    </row>
    <row r="19" spans="4:4">
      <c r="D19" s="98">
        <f>++D5/2</f>
        <v>1110872.5</v>
      </c>
    </row>
    <row r="20" spans="4:4">
      <c r="D20" s="98">
        <f>+D19/1.15</f>
        <v>965976.08695652185</v>
      </c>
    </row>
    <row r="21" spans="4:4">
      <c r="D21" s="98">
        <f>+D20*0.15</f>
        <v>144896.41304347827</v>
      </c>
    </row>
    <row r="23" spans="4:4">
      <c r="D23" s="98">
        <f>+D19*0.13</f>
        <v>144413.42500000002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4663-1844-4B31-ACF8-B70FB7217D07}">
  <dimension ref="A3:I24"/>
  <sheetViews>
    <sheetView topLeftCell="B1" zoomScale="70" zoomScaleNormal="70" workbookViewId="0">
      <selection activeCell="H5" sqref="H5"/>
    </sheetView>
  </sheetViews>
  <sheetFormatPr baseColWidth="10" defaultRowHeight="14.4"/>
  <cols>
    <col min="1" max="1" width="57.6640625" bestFit="1" customWidth="1"/>
    <col min="2" max="6" width="16" bestFit="1" customWidth="1"/>
    <col min="7" max="7" width="21.88671875" bestFit="1" customWidth="1"/>
    <col min="8" max="8" width="7.88671875" customWidth="1"/>
    <col min="9" max="9" width="12.5546875" bestFit="1" customWidth="1"/>
  </cols>
  <sheetData>
    <row r="3" spans="1:9">
      <c r="A3" s="92" t="s">
        <v>329</v>
      </c>
      <c r="B3" t="s">
        <v>330</v>
      </c>
      <c r="C3" t="s">
        <v>332</v>
      </c>
      <c r="D3" t="s">
        <v>333</v>
      </c>
      <c r="E3" t="s">
        <v>334</v>
      </c>
      <c r="F3" t="s">
        <v>335</v>
      </c>
      <c r="G3" t="s">
        <v>340</v>
      </c>
    </row>
    <row r="4" spans="1:9" ht="28.8">
      <c r="A4" s="135" t="s">
        <v>26</v>
      </c>
      <c r="B4" s="95">
        <v>2917215.1620000005</v>
      </c>
      <c r="C4" s="95">
        <v>3577141.2720000003</v>
      </c>
      <c r="D4" s="95">
        <v>2925541.5766000007</v>
      </c>
      <c r="E4" s="95">
        <v>2935091.2757300008</v>
      </c>
      <c r="F4" s="95">
        <v>3012459.6733165011</v>
      </c>
      <c r="G4" s="95">
        <v>15367448.959646503</v>
      </c>
      <c r="H4" s="101">
        <f>GETPIVOTDATA("Suma de TOTAL 5 AÑOS",$A$3,"LINEAS ESTRATEGICAS","1.Abordaje oportuno de la TB en grupos de mayor riesgo y vulnerabilidad con enfoque centrado en la persona. ")/GETPIVOTDATA("Suma de TOTAL 5 AÑOS",$A$3)</f>
        <v>0.14657159990708646</v>
      </c>
    </row>
    <row r="5" spans="1:9" ht="28.8">
      <c r="A5" s="135" t="s">
        <v>54</v>
      </c>
      <c r="B5" s="95">
        <v>14895533.430000002</v>
      </c>
      <c r="C5" s="95">
        <v>15102407.313300001</v>
      </c>
      <c r="D5" s="95">
        <v>16797153.936041001</v>
      </c>
      <c r="E5" s="95">
        <v>17595307.806340571</v>
      </c>
      <c r="F5" s="95">
        <v>18523899.858685069</v>
      </c>
      <c r="G5" s="95">
        <v>82914302.34436664</v>
      </c>
      <c r="H5" s="101">
        <f>GETPIVOTDATA("Suma de TOTAL 5 AÑOS",$A$3,"LINEAS ESTRATEGICAS","2. Diagnóstico y tratamiento de pacientes con tuberculosis sensible y tuberculosis drogorresistente ")/GETPIVOTDATA("Suma de TOTAL 5 AÑOS",$A$3)</f>
        <v>0.790819737336109</v>
      </c>
    </row>
    <row r="6" spans="1:9" ht="28.8">
      <c r="A6" s="135" t="s">
        <v>70</v>
      </c>
      <c r="B6" s="95">
        <v>126480.22</v>
      </c>
      <c r="C6" s="95">
        <v>109230.02</v>
      </c>
      <c r="D6" s="95">
        <v>114375.75</v>
      </c>
      <c r="E6" s="95">
        <v>78368.62</v>
      </c>
      <c r="F6" s="95">
        <v>78368.62</v>
      </c>
      <c r="G6" s="95">
        <v>506823.23</v>
      </c>
      <c r="H6" s="101">
        <f>GETPIVOTDATA("Suma de TOTAL 5 AÑOS",$A$3,"LINEAS ESTRATEGICAS","3.Políticas de salud, intersectorialidad, multisectorialidad, estrategia de participación comunitaria e interculturalidad. ")/GETPIVOTDATA("Suma de TOTAL 5 AÑOS",$A$3)</f>
        <v>4.8339767964250364E-3</v>
      </c>
    </row>
    <row r="7" spans="1:9" ht="28.8">
      <c r="A7" s="135" t="s">
        <v>153</v>
      </c>
      <c r="B7" s="95">
        <v>107099.304</v>
      </c>
      <c r="C7" s="95">
        <v>171282.29440000001</v>
      </c>
      <c r="D7" s="95">
        <v>87099.294399999999</v>
      </c>
      <c r="E7" s="95">
        <v>76850</v>
      </c>
      <c r="F7" s="95">
        <v>76850</v>
      </c>
      <c r="G7" s="95">
        <v>519180.89279999997</v>
      </c>
      <c r="H7" s="101">
        <f>GETPIVOTDATA("Suma de TOTAL 5 AÑOS",$A$3,"LINEAS ESTRATEGICAS","4.Fortalecimiento de sistema de salud, sistema de información, vigilancia e investigación, innovación tecnológica")/GETPIVOTDATA("Suma de TOTAL 5 AÑOS",$A$3)</f>
        <v>4.9518416686276084E-3</v>
      </c>
    </row>
    <row r="8" spans="1:9">
      <c r="A8" s="135" t="s">
        <v>196</v>
      </c>
      <c r="B8" s="95">
        <v>128744.2494</v>
      </c>
      <c r="C8" s="95">
        <v>133956.39920000001</v>
      </c>
      <c r="D8" s="95">
        <v>80840.7886</v>
      </c>
      <c r="E8" s="95">
        <v>0</v>
      </c>
      <c r="F8" s="95">
        <v>0</v>
      </c>
      <c r="G8" s="95">
        <v>343541.43720000004</v>
      </c>
      <c r="H8" s="101">
        <f>GETPIVOTDATA("Suma de TOTAL 5 AÑOS",$A$3,"LINEAS ESTRATEGICAS","5.Transición, sostenibilidad y financiamiento")/GETPIVOTDATA("Suma de TOTAL 5 AÑOS",$A$3)</f>
        <v>3.2766282951065782E-3</v>
      </c>
    </row>
    <row r="9" spans="1:9">
      <c r="A9" s="135" t="s">
        <v>337</v>
      </c>
      <c r="B9" s="95">
        <v>998209.74</v>
      </c>
      <c r="C9" s="95">
        <v>1018173.9348</v>
      </c>
      <c r="D9" s="95">
        <v>1038537.4134960001</v>
      </c>
      <c r="E9" s="95">
        <v>1059308.1617659202</v>
      </c>
      <c r="F9" s="95">
        <v>1080494.3250012386</v>
      </c>
      <c r="G9" s="95">
        <v>5194723.5750631597</v>
      </c>
      <c r="H9" s="101">
        <f>GETPIVOTDATA("Suma de TOTAL 5 AÑOS",$A$3,"LINEAS ESTRATEGICAS","Administración y gerencia ")/GETPIVOTDATA("Suma de TOTAL 5 AÑOS",$A$3)</f>
        <v>4.9546215996645271E-2</v>
      </c>
    </row>
    <row r="10" spans="1:9">
      <c r="A10" s="93" t="s">
        <v>331</v>
      </c>
      <c r="B10" s="95">
        <v>19173282.1054</v>
      </c>
      <c r="C10" s="95">
        <v>20112191.2337</v>
      </c>
      <c r="D10" s="95">
        <v>21043548.759137001</v>
      </c>
      <c r="E10" s="95">
        <v>21744925.863836497</v>
      </c>
      <c r="F10" s="95">
        <v>22772072.477002811</v>
      </c>
      <c r="G10" s="95">
        <v>104846020.4390763</v>
      </c>
      <c r="H10" s="103">
        <f>SUM(H4:H9)</f>
        <v>1</v>
      </c>
    </row>
    <row r="13" spans="1:9">
      <c r="A13" t="str">
        <f t="shared" ref="A13:G20" si="0">A3</f>
        <v>Etiquetas de fila</v>
      </c>
      <c r="B13" s="191" t="s">
        <v>447</v>
      </c>
      <c r="C13" s="191" t="s">
        <v>448</v>
      </c>
      <c r="D13" s="191" t="s">
        <v>449</v>
      </c>
      <c r="E13" s="191" t="s">
        <v>450</v>
      </c>
      <c r="F13" s="191" t="s">
        <v>451</v>
      </c>
      <c r="G13" s="191" t="s">
        <v>453</v>
      </c>
    </row>
    <row r="14" spans="1:9" ht="28.8">
      <c r="A14" s="135" t="str">
        <f t="shared" si="0"/>
        <v xml:space="preserve">1.Abordaje oportuno de la TB en grupos de mayor riesgo y vulnerabilidad con enfoque centrado en la persona. </v>
      </c>
      <c r="B14" s="95">
        <v>2917215.1620000005</v>
      </c>
      <c r="C14" s="95">
        <v>3577141.2720000003</v>
      </c>
      <c r="D14" s="95">
        <v>2925541.5766000007</v>
      </c>
      <c r="E14" s="95">
        <v>2935091.2757300008</v>
      </c>
      <c r="F14" s="95">
        <v>3012459.6733165011</v>
      </c>
      <c r="G14" s="95">
        <v>15367448.959646503</v>
      </c>
      <c r="I14" s="95"/>
    </row>
    <row r="15" spans="1:9" ht="28.8">
      <c r="A15" s="135" t="str">
        <f t="shared" si="0"/>
        <v xml:space="preserve">2. Diagnóstico y tratamiento de pacientes con tuberculosis sensible y tuberculosis drogorresistente </v>
      </c>
      <c r="B15" s="95">
        <v>14895533.430000002</v>
      </c>
      <c r="C15" s="95">
        <v>15102407.313300001</v>
      </c>
      <c r="D15" s="95">
        <v>16797153.936041001</v>
      </c>
      <c r="E15" s="95">
        <v>17595307.806340571</v>
      </c>
      <c r="F15" s="95">
        <v>18523899.858685069</v>
      </c>
      <c r="G15" s="95">
        <v>82914302.34436664</v>
      </c>
    </row>
    <row r="16" spans="1:9" ht="28.8">
      <c r="A16" s="135" t="str">
        <f t="shared" si="0"/>
        <v xml:space="preserve">3.Políticas de salud, intersectorialidad, multisectorialidad, estrategia de participación comunitaria e interculturalidad. </v>
      </c>
      <c r="B16" s="95">
        <v>126480.22</v>
      </c>
      <c r="C16" s="95">
        <v>109230.02</v>
      </c>
      <c r="D16" s="95">
        <v>114375.75</v>
      </c>
      <c r="E16" s="95">
        <v>78368.62</v>
      </c>
      <c r="F16" s="95">
        <v>78368.62</v>
      </c>
      <c r="G16" s="95">
        <v>506823.23</v>
      </c>
    </row>
    <row r="17" spans="1:7" ht="28.8">
      <c r="A17" s="135" t="str">
        <f t="shared" si="0"/>
        <v>4.Fortalecimiento de sistema de salud, sistema de información, vigilancia e investigación, innovación tecnológica</v>
      </c>
      <c r="B17" s="95">
        <v>107099.304</v>
      </c>
      <c r="C17" s="95">
        <v>171282.29440000001</v>
      </c>
      <c r="D17" s="95">
        <v>87099.294399999999</v>
      </c>
      <c r="E17" s="95">
        <v>76850</v>
      </c>
      <c r="F17" s="95">
        <v>76850</v>
      </c>
      <c r="G17" s="95">
        <v>519180.89279999997</v>
      </c>
    </row>
    <row r="18" spans="1:7">
      <c r="A18" s="135" t="str">
        <f t="shared" si="0"/>
        <v>5.Transición, sostenibilidad y financiamiento</v>
      </c>
      <c r="B18" s="95">
        <v>128744.2494</v>
      </c>
      <c r="C18" s="95">
        <v>133956.39920000001</v>
      </c>
      <c r="D18" s="95">
        <v>80840.7886</v>
      </c>
      <c r="E18" s="95">
        <v>0</v>
      </c>
      <c r="F18" s="95">
        <v>0</v>
      </c>
      <c r="G18" s="95">
        <v>343541.43720000004</v>
      </c>
    </row>
    <row r="19" spans="1:7">
      <c r="A19" s="135" t="str">
        <f t="shared" si="0"/>
        <v xml:space="preserve">Administración y gerencia </v>
      </c>
      <c r="B19" s="95">
        <v>998209.74</v>
      </c>
      <c r="C19" s="95">
        <v>1018173.9348</v>
      </c>
      <c r="D19" s="95">
        <v>1038537.4134960001</v>
      </c>
      <c r="E19" s="95">
        <v>1059308.1617659202</v>
      </c>
      <c r="F19" s="95">
        <v>1080494.3250012386</v>
      </c>
      <c r="G19" s="95">
        <v>5194723.5750631597</v>
      </c>
    </row>
    <row r="20" spans="1:7">
      <c r="A20" s="93" t="str">
        <f t="shared" si="0"/>
        <v>Total general</v>
      </c>
      <c r="B20" s="193">
        <v>19173282.1054</v>
      </c>
      <c r="C20" s="193">
        <v>20112191.2337</v>
      </c>
      <c r="D20" s="193">
        <v>21043548.759137001</v>
      </c>
      <c r="E20" s="193">
        <v>21744925.863836497</v>
      </c>
      <c r="F20" s="193">
        <v>22772072.477002811</v>
      </c>
      <c r="G20" s="193">
        <v>104846020.4390763</v>
      </c>
    </row>
    <row r="21" spans="1:7">
      <c r="G21" s="95"/>
    </row>
    <row r="22" spans="1:7">
      <c r="G22" s="95"/>
    </row>
    <row r="24" spans="1:7">
      <c r="G24" s="95"/>
    </row>
  </sheetData>
  <phoneticPr fontId="13" type="noConversion"/>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AF34E-0A6C-449D-B509-7409089CEF20}">
  <dimension ref="A3:H28"/>
  <sheetViews>
    <sheetView zoomScale="80" zoomScaleNormal="80" workbookViewId="0">
      <selection activeCell="H5" sqref="H5"/>
    </sheetView>
  </sheetViews>
  <sheetFormatPr baseColWidth="10" defaultRowHeight="14.4"/>
  <cols>
    <col min="1" max="1" width="29.6640625" bestFit="1" customWidth="1"/>
    <col min="2" max="6" width="15" bestFit="1" customWidth="1"/>
    <col min="7" max="7" width="16.109375" bestFit="1" customWidth="1"/>
  </cols>
  <sheetData>
    <row r="3" spans="1:8" ht="28.8">
      <c r="A3" s="136" t="s">
        <v>329</v>
      </c>
      <c r="B3" s="137" t="s">
        <v>330</v>
      </c>
      <c r="C3" s="137" t="s">
        <v>332</v>
      </c>
      <c r="D3" s="137" t="s">
        <v>333</v>
      </c>
      <c r="E3" s="137" t="s">
        <v>334</v>
      </c>
      <c r="F3" s="137" t="s">
        <v>335</v>
      </c>
      <c r="G3" s="138" t="s">
        <v>340</v>
      </c>
    </row>
    <row r="4" spans="1:8">
      <c r="A4" s="93" t="s">
        <v>43</v>
      </c>
      <c r="B4" s="94">
        <v>40793.599999999999</v>
      </c>
      <c r="C4" s="94">
        <v>543369.70000000007</v>
      </c>
      <c r="D4" s="94">
        <v>65795</v>
      </c>
      <c r="E4" s="94">
        <v>649266.5</v>
      </c>
      <c r="F4" s="94">
        <v>633179.5</v>
      </c>
      <c r="G4" s="94">
        <v>1932404.3</v>
      </c>
      <c r="H4" s="101">
        <f>GETPIVOTDATA("Suma de TOTAL 5 AÑOS",$A$3,"ENTIDAD FINANCIADORA ","BRECHA FINANCIERA")/GETPIVOTDATA("Suma de TOTAL 5 AÑOS",$A$3)</f>
        <v>1.8430878844112899E-2</v>
      </c>
    </row>
    <row r="5" spans="1:8">
      <c r="A5" s="93" t="s">
        <v>217</v>
      </c>
      <c r="B5" s="94">
        <v>12549.12</v>
      </c>
      <c r="C5" s="94">
        <v>12549.12</v>
      </c>
      <c r="D5" s="94">
        <v>12549.12</v>
      </c>
      <c r="E5" s="94">
        <v>12549.12</v>
      </c>
      <c r="F5" s="94">
        <v>12549.12</v>
      </c>
      <c r="G5" s="94">
        <v>62745.600000000006</v>
      </c>
      <c r="H5" s="101">
        <f>GETPIVOTDATA("Suma de TOTAL 5 AÑOS",$A$3,"ENTIDAD FINANCIADORA ","COMITÉ NACIONAL DE DOCENCIA")/GETPIVOTDATA("Suma de TOTAL 5 AÑOS",$A$3)</f>
        <v>5.9845476001123082E-4</v>
      </c>
    </row>
    <row r="6" spans="1:8">
      <c r="A6" s="93" t="s">
        <v>265</v>
      </c>
      <c r="B6" s="94">
        <v>1827017.84</v>
      </c>
      <c r="C6" s="94">
        <v>1918368.7320000003</v>
      </c>
      <c r="D6" s="94">
        <v>1986968.9826000007</v>
      </c>
      <c r="E6" s="94">
        <v>2086317.431730001</v>
      </c>
      <c r="F6" s="94">
        <v>2190633.303316501</v>
      </c>
      <c r="G6" s="94">
        <v>10009306.289646503</v>
      </c>
      <c r="H6" s="101">
        <f>GETPIVOTDATA("Suma de TOTAL 5 AÑOS",$A$3,"ENTIDAD FINANCIADORA ","DGCP")/GETPIVOTDATA("Suma de TOTAL 5 AÑOS",$A$3)</f>
        <v>9.5466725849291417E-2</v>
      </c>
    </row>
    <row r="7" spans="1:8">
      <c r="A7" s="93" t="s">
        <v>40</v>
      </c>
      <c r="B7" s="94">
        <v>685630.48340000003</v>
      </c>
      <c r="C7" s="94">
        <v>1003222.8836000001</v>
      </c>
      <c r="D7" s="94">
        <v>532891.63299999991</v>
      </c>
      <c r="E7" s="94">
        <v>0</v>
      </c>
      <c r="F7" s="94">
        <v>0</v>
      </c>
      <c r="G7" s="94">
        <v>2221745</v>
      </c>
      <c r="H7" s="101">
        <f>GETPIVOTDATA("Suma de TOTAL 5 AÑOS",$A$3,"ENTIDAD FINANCIADORA ","FONDO MUNDIAL")/GETPIVOTDATA("Suma de TOTAL 5 AÑOS",$A$3)</f>
        <v>2.1190551541162277E-2</v>
      </c>
    </row>
    <row r="8" spans="1:8">
      <c r="A8" s="93" t="s">
        <v>52</v>
      </c>
      <c r="B8" s="94">
        <v>515635.95</v>
      </c>
      <c r="C8" s="94">
        <v>242401.95</v>
      </c>
      <c r="D8" s="94">
        <v>262397.3</v>
      </c>
      <c r="E8" s="94">
        <v>0</v>
      </c>
      <c r="F8" s="94">
        <v>0</v>
      </c>
      <c r="G8" s="94">
        <v>1020435.2</v>
      </c>
      <c r="H8" s="101">
        <f>GETPIVOTDATA("Suma de TOTAL 5 AÑOS",$A$3,"ENTIDAD FINANCIADORA ","FONDO MUNDIAL-UQD")/GETPIVOTDATA("Suma de TOTAL 5 AÑOS",$A$3)</f>
        <v>9.7327032130223017E-3</v>
      </c>
    </row>
    <row r="9" spans="1:8">
      <c r="A9" s="93" t="s">
        <v>226</v>
      </c>
      <c r="B9" s="94">
        <v>338122.02</v>
      </c>
      <c r="C9" s="94">
        <v>338122.02</v>
      </c>
      <c r="D9" s="94">
        <v>338122.02</v>
      </c>
      <c r="E9" s="94">
        <v>355028.12</v>
      </c>
      <c r="F9" s="94">
        <v>372779.52000000002</v>
      </c>
      <c r="G9" s="94">
        <v>1742173.7000000002</v>
      </c>
      <c r="H9" s="101">
        <f>GETPIVOTDATA("Suma de TOTAL 5 AÑOS",$A$3,"ENTIDAD FINANCIADORA ","FOSALUD")/GETPIVOTDATA("Suma de TOTAL 5 AÑOS",$A$3)</f>
        <v>1.6616498105546492E-2</v>
      </c>
    </row>
    <row r="10" spans="1:8">
      <c r="A10" s="93" t="s">
        <v>244</v>
      </c>
      <c r="B10" s="94">
        <v>3205915.6599999997</v>
      </c>
      <c r="C10" s="94">
        <v>3071558.54</v>
      </c>
      <c r="D10" s="94">
        <v>4415785.04</v>
      </c>
      <c r="E10" s="94">
        <v>4914465.5999999996</v>
      </c>
      <c r="F10" s="94">
        <v>5413146.1699999999</v>
      </c>
      <c r="G10" s="94">
        <v>21020871.009999998</v>
      </c>
      <c r="H10" s="101">
        <f>GETPIVOTDATA("Suma de TOTAL 5 AÑOS",$A$3,"ENTIDAD FINANCIADORA ","ISSS ")/GETPIVOTDATA("Suma de TOTAL 5 AÑOS",$A$3)</f>
        <v>0.2004927885862369</v>
      </c>
    </row>
    <row r="11" spans="1:8">
      <c r="A11" s="93" t="s">
        <v>34</v>
      </c>
      <c r="B11" s="94">
        <v>12547617.432000002</v>
      </c>
      <c r="C11" s="94">
        <v>12982598.288100002</v>
      </c>
      <c r="D11" s="94">
        <v>13429039.663537003</v>
      </c>
      <c r="E11" s="94">
        <v>13727299.092106491</v>
      </c>
      <c r="F11" s="94">
        <v>14149784.863686308</v>
      </c>
      <c r="G11" s="94">
        <v>66836339.339429811</v>
      </c>
      <c r="H11" s="101">
        <f>GETPIVOTDATA("Suma de TOTAL 5 AÑOS",$A$3,"ENTIDAD FINANCIADORA ","MINSAL")/GETPIVOTDATA("Suma de TOTAL 5 AÑOS",$A$3)</f>
        <v>0.63747139910061656</v>
      </c>
    </row>
    <row r="12" spans="1:8">
      <c r="A12" s="93" t="s">
        <v>331</v>
      </c>
      <c r="B12" s="94">
        <v>19173282.105400003</v>
      </c>
      <c r="C12" s="94">
        <v>20112191.233700003</v>
      </c>
      <c r="D12" s="94">
        <v>21043548.759137005</v>
      </c>
      <c r="E12" s="94">
        <v>21744925.86383649</v>
      </c>
      <c r="F12" s="94">
        <v>22772072.477002807</v>
      </c>
      <c r="G12" s="94">
        <v>104846020.4390763</v>
      </c>
    </row>
    <row r="14" spans="1:8">
      <c r="B14" t="s">
        <v>342</v>
      </c>
      <c r="C14" s="94">
        <f>GETPIVOTDATA("Suma de Año 1",$A$3)+GETPIVOTDATA("Suma de Año 2",$A$3)+GETPIVOTDATA("Suma de Año 3",$A$3)</f>
        <v>60329022.098237008</v>
      </c>
    </row>
    <row r="15" spans="1:8">
      <c r="B15" t="s">
        <v>343</v>
      </c>
      <c r="C15" s="96">
        <f>GETPIVOTDATA("Suma de TOTAL 5 AÑOS",$A$3,"ENTIDAD FINANCIADORA ","FONDO MUNDIAL")/C14</f>
        <v>3.682713431658502E-2</v>
      </c>
    </row>
    <row r="16" spans="1:8">
      <c r="B16" t="s">
        <v>344</v>
      </c>
      <c r="C16" s="96">
        <f>(GETPIVOTDATA("Suma de TOTAL 5 AÑOS",$A$3,"ENTIDAD FINANCIADORA ","FONDO MUNDIAL")+GETPIVOTDATA("Suma de TOTAL 5 AÑOS",$A$3,"ENTIDAD FINANCIADORA ","FONDO MUNDIAL-UQD"))/C14</f>
        <v>5.374163358259948E-2</v>
      </c>
    </row>
    <row r="19" spans="1:7" s="100" customFormat="1">
      <c r="A19" t="s">
        <v>446</v>
      </c>
      <c r="B19" t="s">
        <v>447</v>
      </c>
      <c r="C19" t="s">
        <v>448</v>
      </c>
      <c r="D19" t="s">
        <v>449</v>
      </c>
      <c r="E19" t="s">
        <v>450</v>
      </c>
      <c r="F19" t="s">
        <v>451</v>
      </c>
      <c r="G19" t="s">
        <v>452</v>
      </c>
    </row>
    <row r="20" spans="1:7">
      <c r="A20" t="s">
        <v>43</v>
      </c>
      <c r="B20" s="192">
        <v>40793.599999999999</v>
      </c>
      <c r="C20" s="192">
        <v>543369.70000000007</v>
      </c>
      <c r="D20" s="192">
        <v>65795</v>
      </c>
      <c r="E20" s="192">
        <v>649266.5</v>
      </c>
      <c r="F20" s="192">
        <v>633179.5</v>
      </c>
      <c r="G20" s="192">
        <v>1932404.3</v>
      </c>
    </row>
    <row r="21" spans="1:7">
      <c r="A21" t="s">
        <v>217</v>
      </c>
      <c r="B21" s="192">
        <v>12549.12</v>
      </c>
      <c r="C21" s="192">
        <v>12549.12</v>
      </c>
      <c r="D21" s="192">
        <v>12549.12</v>
      </c>
      <c r="E21" s="192">
        <v>12549.12</v>
      </c>
      <c r="F21" s="192">
        <v>12549.12</v>
      </c>
      <c r="G21" s="192">
        <v>62745.600000000006</v>
      </c>
    </row>
    <row r="22" spans="1:7">
      <c r="A22" t="s">
        <v>265</v>
      </c>
      <c r="B22" s="192">
        <v>1827017.84</v>
      </c>
      <c r="C22" s="192">
        <v>1918368.7320000003</v>
      </c>
      <c r="D22" s="192">
        <v>1986968.9826000007</v>
      </c>
      <c r="E22" s="192">
        <v>2086317.431730001</v>
      </c>
      <c r="F22" s="192">
        <v>2190633.303316501</v>
      </c>
      <c r="G22" s="192">
        <v>10009306.289646503</v>
      </c>
    </row>
    <row r="23" spans="1:7">
      <c r="A23" t="s">
        <v>40</v>
      </c>
      <c r="B23" s="192">
        <v>685630.48340000003</v>
      </c>
      <c r="C23" s="192">
        <v>1003222.8836000001</v>
      </c>
      <c r="D23" s="192">
        <v>532891.63299999991</v>
      </c>
      <c r="E23" s="192">
        <v>0</v>
      </c>
      <c r="F23" s="192">
        <v>0</v>
      </c>
      <c r="G23" s="192">
        <v>2221745</v>
      </c>
    </row>
    <row r="24" spans="1:7">
      <c r="A24" t="s">
        <v>52</v>
      </c>
      <c r="B24" s="192">
        <v>515635.95</v>
      </c>
      <c r="C24" s="192">
        <v>242401.95</v>
      </c>
      <c r="D24" s="192">
        <v>262397.3</v>
      </c>
      <c r="E24" s="192">
        <v>0</v>
      </c>
      <c r="F24" s="192">
        <v>0</v>
      </c>
      <c r="G24" s="192">
        <v>1020435.2</v>
      </c>
    </row>
    <row r="25" spans="1:7">
      <c r="A25" t="s">
        <v>226</v>
      </c>
      <c r="B25" s="192">
        <v>338122.02</v>
      </c>
      <c r="C25" s="192">
        <v>338122.02</v>
      </c>
      <c r="D25" s="192">
        <v>338122.02</v>
      </c>
      <c r="E25" s="192">
        <v>355028.12</v>
      </c>
      <c r="F25" s="192">
        <v>372779.52000000002</v>
      </c>
      <c r="G25" s="192">
        <v>1742173.7000000002</v>
      </c>
    </row>
    <row r="26" spans="1:7">
      <c r="A26" t="s">
        <v>244</v>
      </c>
      <c r="B26" s="192">
        <v>3205915.6599999997</v>
      </c>
      <c r="C26" s="192">
        <v>3071558.54</v>
      </c>
      <c r="D26" s="192">
        <v>4415785.04</v>
      </c>
      <c r="E26" s="192">
        <v>4914465.5999999996</v>
      </c>
      <c r="F26" s="192">
        <v>5413146.1699999999</v>
      </c>
      <c r="G26" s="192">
        <v>21020871.009999998</v>
      </c>
    </row>
    <row r="27" spans="1:7">
      <c r="A27" t="s">
        <v>34</v>
      </c>
      <c r="B27" s="192">
        <v>12547617.432000002</v>
      </c>
      <c r="C27" s="192">
        <v>12982598.288100002</v>
      </c>
      <c r="D27" s="192">
        <v>13429039.663537003</v>
      </c>
      <c r="E27" s="192">
        <v>13727299.092106491</v>
      </c>
      <c r="F27" s="192">
        <v>14149784.863686308</v>
      </c>
      <c r="G27" s="192">
        <v>66836339.339429811</v>
      </c>
    </row>
    <row r="28" spans="1:7">
      <c r="A28" t="s">
        <v>331</v>
      </c>
      <c r="B28" s="192">
        <v>19173282.105400003</v>
      </c>
      <c r="C28" s="192">
        <v>20112191.233700003</v>
      </c>
      <c r="D28" s="192">
        <v>21043548.759137005</v>
      </c>
      <c r="E28" s="192">
        <v>21744925.86383649</v>
      </c>
      <c r="F28" s="192">
        <v>22772072.477002807</v>
      </c>
      <c r="G28" s="192">
        <v>104846020.4390763</v>
      </c>
    </row>
  </sheetData>
  <phoneticPr fontId="13" type="noConversion"/>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81A6-041E-4729-A0D5-FAC1E4572B39}">
  <dimension ref="A3:G32"/>
  <sheetViews>
    <sheetView tabSelected="1" zoomScale="70" zoomScaleNormal="70" workbookViewId="0">
      <selection activeCell="A3" sqref="A3:H16"/>
    </sheetView>
  </sheetViews>
  <sheetFormatPr baseColWidth="10" defaultRowHeight="14.4"/>
  <cols>
    <col min="1" max="1" width="55.77734375" bestFit="1" customWidth="1"/>
    <col min="2" max="6" width="16" bestFit="1" customWidth="1"/>
    <col min="7" max="7" width="17.109375" bestFit="1" customWidth="1"/>
  </cols>
  <sheetData>
    <row r="3" spans="1:7" ht="28.8">
      <c r="A3" s="136" t="s">
        <v>329</v>
      </c>
      <c r="B3" s="137" t="s">
        <v>330</v>
      </c>
      <c r="C3" s="137" t="s">
        <v>332</v>
      </c>
      <c r="D3" s="137" t="s">
        <v>333</v>
      </c>
      <c r="E3" s="137" t="s">
        <v>334</v>
      </c>
      <c r="F3" s="137" t="s">
        <v>335</v>
      </c>
      <c r="G3" s="138" t="s">
        <v>340</v>
      </c>
    </row>
    <row r="4" spans="1:7" ht="28.8">
      <c r="A4" s="134" t="s">
        <v>79</v>
      </c>
      <c r="B4" s="145">
        <v>45000</v>
      </c>
      <c r="C4" s="145">
        <v>25000</v>
      </c>
      <c r="D4" s="145">
        <v>25000</v>
      </c>
      <c r="E4" s="145">
        <v>25875</v>
      </c>
      <c r="F4" s="145">
        <v>25875</v>
      </c>
      <c r="G4" s="145">
        <v>146750</v>
      </c>
    </row>
    <row r="5" spans="1:7">
      <c r="A5" s="134" t="s">
        <v>145</v>
      </c>
      <c r="B5" s="145">
        <v>1020753.86</v>
      </c>
      <c r="C5" s="145">
        <v>1065718.0548</v>
      </c>
      <c r="D5" s="145">
        <v>1086081.5334960001</v>
      </c>
      <c r="E5" s="145">
        <v>1106852.2817659203</v>
      </c>
      <c r="F5" s="145">
        <v>1128038.4450012387</v>
      </c>
      <c r="G5" s="145">
        <v>5407444.1750631593</v>
      </c>
    </row>
    <row r="6" spans="1:7" ht="28.8">
      <c r="A6" s="134" t="s">
        <v>111</v>
      </c>
      <c r="B6" s="145">
        <v>98945.38</v>
      </c>
      <c r="C6" s="145">
        <v>99014.94</v>
      </c>
      <c r="D6" s="145">
        <v>100782.22</v>
      </c>
      <c r="E6" s="145">
        <v>47880</v>
      </c>
      <c r="F6" s="145">
        <v>47880</v>
      </c>
      <c r="G6" s="145">
        <v>394502.54000000004</v>
      </c>
    </row>
    <row r="7" spans="1:7">
      <c r="A7" s="134" t="s">
        <v>170</v>
      </c>
      <c r="B7" s="145">
        <v>239926.0534</v>
      </c>
      <c r="C7" s="145">
        <v>289590.99360000005</v>
      </c>
      <c r="D7" s="145">
        <v>157436.71300000002</v>
      </c>
      <c r="E7" s="145">
        <v>0</v>
      </c>
      <c r="F7" s="145">
        <v>0</v>
      </c>
      <c r="G7" s="145">
        <v>686953.76</v>
      </c>
    </row>
    <row r="8" spans="1:7">
      <c r="A8" s="134" t="s">
        <v>61</v>
      </c>
      <c r="B8" s="145">
        <v>375887.18599999999</v>
      </c>
      <c r="C8" s="145">
        <v>347544.68</v>
      </c>
      <c r="D8" s="145">
        <v>365768.114</v>
      </c>
      <c r="E8" s="145">
        <v>363417.94400000002</v>
      </c>
      <c r="F8" s="145">
        <v>372895.12</v>
      </c>
      <c r="G8" s="145">
        <v>1825513.044</v>
      </c>
    </row>
    <row r="9" spans="1:7" ht="28.8">
      <c r="A9" s="134" t="s">
        <v>25</v>
      </c>
      <c r="B9" s="145">
        <v>2440687.9560000002</v>
      </c>
      <c r="C9" s="145">
        <v>3277256.5720000002</v>
      </c>
      <c r="D9" s="145">
        <v>2566175.4426000006</v>
      </c>
      <c r="E9" s="145">
        <v>2501935.2117300006</v>
      </c>
      <c r="F9" s="145">
        <v>2578857.0333165014</v>
      </c>
      <c r="G9" s="145">
        <v>13364912.215646503</v>
      </c>
    </row>
    <row r="10" spans="1:7" ht="28.8">
      <c r="A10" s="134" t="s">
        <v>69</v>
      </c>
      <c r="B10" s="145">
        <v>5020</v>
      </c>
      <c r="C10" s="145">
        <v>2500</v>
      </c>
      <c r="D10" s="145">
        <v>2500</v>
      </c>
      <c r="E10" s="145">
        <v>3125</v>
      </c>
      <c r="F10" s="145">
        <v>3125</v>
      </c>
      <c r="G10" s="145">
        <v>16270</v>
      </c>
    </row>
    <row r="11" spans="1:7">
      <c r="A11" s="134" t="s">
        <v>152</v>
      </c>
      <c r="B11" s="145">
        <v>38975</v>
      </c>
      <c r="C11" s="145">
        <v>38975</v>
      </c>
      <c r="D11" s="145">
        <v>38975</v>
      </c>
      <c r="E11" s="145">
        <v>35975</v>
      </c>
      <c r="F11" s="145">
        <v>35975</v>
      </c>
      <c r="G11" s="145">
        <v>188875</v>
      </c>
    </row>
    <row r="12" spans="1:7">
      <c r="A12" s="134" t="s">
        <v>45</v>
      </c>
      <c r="B12" s="145">
        <v>1203680</v>
      </c>
      <c r="C12" s="145">
        <v>1061321.98</v>
      </c>
      <c r="D12" s="145">
        <v>1094035.71</v>
      </c>
      <c r="E12" s="145">
        <v>1070238.0970000001</v>
      </c>
      <c r="F12" s="145">
        <v>1114191.75214</v>
      </c>
      <c r="G12" s="145">
        <v>5543467.53914</v>
      </c>
    </row>
    <row r="13" spans="1:7">
      <c r="A13" s="134" t="s">
        <v>188</v>
      </c>
      <c r="B13" s="145">
        <v>50406</v>
      </c>
      <c r="C13" s="145">
        <v>50406</v>
      </c>
      <c r="D13" s="145">
        <v>51664</v>
      </c>
      <c r="E13" s="145">
        <v>51664</v>
      </c>
      <c r="F13" s="145">
        <v>51664</v>
      </c>
      <c r="G13" s="145">
        <v>255804</v>
      </c>
    </row>
    <row r="14" spans="1:7">
      <c r="A14" s="134" t="s">
        <v>90</v>
      </c>
      <c r="B14" s="145">
        <v>14600</v>
      </c>
      <c r="C14" s="145">
        <v>14600</v>
      </c>
      <c r="D14" s="145">
        <v>14600</v>
      </c>
      <c r="E14" s="145">
        <v>17600</v>
      </c>
      <c r="F14" s="145">
        <v>17600</v>
      </c>
      <c r="G14" s="145">
        <v>79000</v>
      </c>
    </row>
    <row r="15" spans="1:7">
      <c r="A15" s="134" t="s">
        <v>221</v>
      </c>
      <c r="B15" s="145">
        <v>13639400.67</v>
      </c>
      <c r="C15" s="145">
        <v>13840263.013300002</v>
      </c>
      <c r="D15" s="145">
        <v>15540530.026041005</v>
      </c>
      <c r="E15" s="145">
        <v>16520363.32934057</v>
      </c>
      <c r="F15" s="145">
        <v>17395971.126545072</v>
      </c>
      <c r="G15" s="145">
        <v>76936528.165226638</v>
      </c>
    </row>
    <row r="16" spans="1:7">
      <c r="A16" s="93" t="s">
        <v>331</v>
      </c>
      <c r="B16" s="94">
        <v>19173282.1054</v>
      </c>
      <c r="C16" s="94">
        <v>20112191.2337</v>
      </c>
      <c r="D16" s="94">
        <v>21043548.759137005</v>
      </c>
      <c r="E16" s="94">
        <v>21744925.86383649</v>
      </c>
      <c r="F16" s="94">
        <v>22772072.477002811</v>
      </c>
      <c r="G16" s="94">
        <v>104846020.4390763</v>
      </c>
    </row>
    <row r="19" spans="1:7" ht="28.8">
      <c r="A19" s="139" t="s">
        <v>329</v>
      </c>
      <c r="B19" s="100" t="s">
        <v>330</v>
      </c>
      <c r="C19" s="100" t="s">
        <v>332</v>
      </c>
      <c r="D19" s="100" t="s">
        <v>333</v>
      </c>
      <c r="E19" s="100" t="s">
        <v>334</v>
      </c>
      <c r="F19" s="100" t="s">
        <v>335</v>
      </c>
      <c r="G19" s="138" t="s">
        <v>340</v>
      </c>
    </row>
    <row r="20" spans="1:7" ht="28.8">
      <c r="A20" s="134" t="s">
        <v>79</v>
      </c>
      <c r="B20" s="145">
        <v>45000</v>
      </c>
      <c r="C20" s="145">
        <v>25000</v>
      </c>
      <c r="D20" s="145">
        <v>25000</v>
      </c>
      <c r="E20" s="145">
        <v>25875</v>
      </c>
      <c r="F20" s="145">
        <v>25875</v>
      </c>
      <c r="G20" s="145">
        <v>146750</v>
      </c>
    </row>
    <row r="21" spans="1:7">
      <c r="A21" s="134" t="s">
        <v>145</v>
      </c>
      <c r="B21" s="145">
        <v>1020753.86</v>
      </c>
      <c r="C21" s="145">
        <v>1065718.0548</v>
      </c>
      <c r="D21" s="145">
        <v>1086081.5334960001</v>
      </c>
      <c r="E21" s="145">
        <v>1106852.2817659203</v>
      </c>
      <c r="F21" s="145">
        <v>1128038.4450012387</v>
      </c>
      <c r="G21" s="145">
        <v>5407444.1750631593</v>
      </c>
    </row>
    <row r="22" spans="1:7" ht="28.8">
      <c r="A22" s="134" t="s">
        <v>111</v>
      </c>
      <c r="B22" s="145">
        <v>98945.38</v>
      </c>
      <c r="C22" s="145">
        <v>99014.94</v>
      </c>
      <c r="D22" s="145">
        <v>100782.22</v>
      </c>
      <c r="E22" s="145">
        <v>47880</v>
      </c>
      <c r="F22" s="145">
        <v>47880</v>
      </c>
      <c r="G22" s="145">
        <v>394502.54000000004</v>
      </c>
    </row>
    <row r="23" spans="1:7">
      <c r="A23" s="134" t="s">
        <v>170</v>
      </c>
      <c r="B23" s="145">
        <v>239926.0534</v>
      </c>
      <c r="C23" s="145">
        <v>289590.99360000005</v>
      </c>
      <c r="D23" s="145">
        <v>157436.71300000002</v>
      </c>
      <c r="E23" s="145">
        <v>0</v>
      </c>
      <c r="F23" s="145">
        <v>0</v>
      </c>
      <c r="G23" s="145">
        <v>686953.76</v>
      </c>
    </row>
    <row r="24" spans="1:7">
      <c r="A24" s="134" t="s">
        <v>61</v>
      </c>
      <c r="B24" s="145">
        <v>375887.18599999999</v>
      </c>
      <c r="C24" s="145">
        <v>347544.68</v>
      </c>
      <c r="D24" s="145">
        <v>365768.114</v>
      </c>
      <c r="E24" s="145">
        <v>363417.94400000002</v>
      </c>
      <c r="F24" s="145">
        <v>372895.12</v>
      </c>
      <c r="G24" s="145">
        <v>1825513.044</v>
      </c>
    </row>
    <row r="25" spans="1:7" ht="28.8">
      <c r="A25" s="134" t="s">
        <v>25</v>
      </c>
      <c r="B25" s="145">
        <v>2440687.9560000002</v>
      </c>
      <c r="C25" s="145">
        <v>3277256.5720000002</v>
      </c>
      <c r="D25" s="145">
        <v>2566175.4426000006</v>
      </c>
      <c r="E25" s="145">
        <v>2501935.2117300006</v>
      </c>
      <c r="F25" s="145">
        <v>2578857.0333165014</v>
      </c>
      <c r="G25" s="145">
        <v>13364912.215646503</v>
      </c>
    </row>
    <row r="26" spans="1:7" ht="28.8">
      <c r="A26" s="134" t="s">
        <v>69</v>
      </c>
      <c r="B26" s="145">
        <v>5020</v>
      </c>
      <c r="C26" s="145">
        <v>2500</v>
      </c>
      <c r="D26" s="145">
        <v>2500</v>
      </c>
      <c r="E26" s="145">
        <v>3125</v>
      </c>
      <c r="F26" s="145">
        <v>3125</v>
      </c>
      <c r="G26" s="145">
        <v>16270</v>
      </c>
    </row>
    <row r="27" spans="1:7">
      <c r="A27" s="134" t="s">
        <v>152</v>
      </c>
      <c r="B27" s="145">
        <v>38975</v>
      </c>
      <c r="C27" s="145">
        <v>38975</v>
      </c>
      <c r="D27" s="145">
        <v>38975</v>
      </c>
      <c r="E27" s="145">
        <v>35975</v>
      </c>
      <c r="F27" s="145">
        <v>35975</v>
      </c>
      <c r="G27" s="145">
        <v>188875</v>
      </c>
    </row>
    <row r="28" spans="1:7">
      <c r="A28" s="134" t="s">
        <v>45</v>
      </c>
      <c r="B28" s="145">
        <v>1203680</v>
      </c>
      <c r="C28" s="145">
        <v>1061321.98</v>
      </c>
      <c r="D28" s="145">
        <v>1094035.71</v>
      </c>
      <c r="E28" s="145">
        <v>1070238.0970000001</v>
      </c>
      <c r="F28" s="145">
        <v>1114191.75214</v>
      </c>
      <c r="G28" s="145">
        <v>5543467.53914</v>
      </c>
    </row>
    <row r="29" spans="1:7">
      <c r="A29" s="134" t="s">
        <v>188</v>
      </c>
      <c r="B29" s="145">
        <v>50406</v>
      </c>
      <c r="C29" s="145">
        <v>50406</v>
      </c>
      <c r="D29" s="145">
        <v>51664</v>
      </c>
      <c r="E29" s="145">
        <v>51664</v>
      </c>
      <c r="F29" s="145">
        <v>51664</v>
      </c>
      <c r="G29" s="145">
        <v>255804</v>
      </c>
    </row>
    <row r="30" spans="1:7">
      <c r="A30" s="134" t="s">
        <v>90</v>
      </c>
      <c r="B30" s="145">
        <v>14600</v>
      </c>
      <c r="C30" s="145">
        <v>14600</v>
      </c>
      <c r="D30" s="145">
        <v>14600</v>
      </c>
      <c r="E30" s="145">
        <v>17600</v>
      </c>
      <c r="F30" s="145">
        <v>17600</v>
      </c>
      <c r="G30" s="145">
        <v>79000</v>
      </c>
    </row>
    <row r="31" spans="1:7">
      <c r="A31" s="134" t="s">
        <v>221</v>
      </c>
      <c r="B31" s="145">
        <v>13639400.67</v>
      </c>
      <c r="C31" s="145">
        <v>13840263.013300002</v>
      </c>
      <c r="D31" s="145">
        <v>15540530.026041005</v>
      </c>
      <c r="E31" s="145">
        <v>16520363.32934057</v>
      </c>
      <c r="F31" s="145">
        <v>17395971.126545072</v>
      </c>
      <c r="G31" s="145">
        <v>76936528.165226638</v>
      </c>
    </row>
    <row r="32" spans="1:7">
      <c r="A32" s="156" t="s">
        <v>331</v>
      </c>
      <c r="B32" s="157">
        <f>SUM(B20:B31)</f>
        <v>19173282.1054</v>
      </c>
      <c r="C32" s="157">
        <f t="shared" ref="C32:G32" si="0">SUM(C20:C31)</f>
        <v>20112191.2337</v>
      </c>
      <c r="D32" s="157">
        <f t="shared" si="0"/>
        <v>21043548.759137005</v>
      </c>
      <c r="E32" s="157">
        <f t="shared" si="0"/>
        <v>21744925.86383649</v>
      </c>
      <c r="F32" s="157">
        <f t="shared" si="0"/>
        <v>22772072.477002811</v>
      </c>
      <c r="G32" s="157">
        <f t="shared" si="0"/>
        <v>104846020.4390763</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1A92-0ACA-46AF-9C9B-DDB923844F23}">
  <dimension ref="A3:D54"/>
  <sheetViews>
    <sheetView topLeftCell="B26" zoomScale="80" zoomScaleNormal="80" workbookViewId="0">
      <selection activeCell="F53" sqref="F53"/>
    </sheetView>
  </sheetViews>
  <sheetFormatPr baseColWidth="10" defaultRowHeight="14.4"/>
  <cols>
    <col min="1" max="1" width="107.88671875" bestFit="1" customWidth="1"/>
    <col min="2" max="4" width="15" bestFit="1" customWidth="1"/>
    <col min="5" max="5" width="13.6640625" bestFit="1" customWidth="1"/>
  </cols>
  <sheetData>
    <row r="3" spans="1:4">
      <c r="A3" s="92" t="s">
        <v>329</v>
      </c>
      <c r="B3" t="s">
        <v>330</v>
      </c>
      <c r="C3" t="s">
        <v>332</v>
      </c>
      <c r="D3" t="s">
        <v>333</v>
      </c>
    </row>
    <row r="4" spans="1:4">
      <c r="A4" s="93" t="s">
        <v>79</v>
      </c>
      <c r="B4" s="94">
        <v>45000</v>
      </c>
      <c r="C4" s="94">
        <v>25000</v>
      </c>
      <c r="D4" s="94">
        <v>25000</v>
      </c>
    </row>
    <row r="5" spans="1:4">
      <c r="A5" s="97" t="s">
        <v>43</v>
      </c>
      <c r="B5" s="94">
        <v>0</v>
      </c>
      <c r="C5" s="94">
        <v>0</v>
      </c>
      <c r="D5" s="94">
        <v>0</v>
      </c>
    </row>
    <row r="6" spans="1:4">
      <c r="A6" s="97" t="s">
        <v>52</v>
      </c>
      <c r="B6" s="94">
        <v>45000</v>
      </c>
      <c r="C6" s="94">
        <v>25000</v>
      </c>
      <c r="D6" s="94">
        <v>25000</v>
      </c>
    </row>
    <row r="7" spans="1:4">
      <c r="A7" s="93" t="s">
        <v>145</v>
      </c>
      <c r="B7" s="94">
        <v>1020753.86</v>
      </c>
      <c r="C7" s="94">
        <v>1065718.0548</v>
      </c>
      <c r="D7" s="94">
        <v>1086081.5334960001</v>
      </c>
    </row>
    <row r="8" spans="1:4">
      <c r="A8" s="97" t="s">
        <v>43</v>
      </c>
      <c r="B8" s="94">
        <v>9995</v>
      </c>
      <c r="C8" s="94">
        <v>34995</v>
      </c>
      <c r="D8" s="94">
        <v>34995</v>
      </c>
    </row>
    <row r="9" spans="1:4">
      <c r="A9" s="97" t="s">
        <v>217</v>
      </c>
      <c r="B9" s="94">
        <v>12549.12</v>
      </c>
      <c r="C9" s="94">
        <v>12549.12</v>
      </c>
      <c r="D9" s="94">
        <v>12549.12</v>
      </c>
    </row>
    <row r="10" spans="1:4">
      <c r="A10" s="97" t="s">
        <v>34</v>
      </c>
      <c r="B10" s="94">
        <v>998209.74</v>
      </c>
      <c r="C10" s="94">
        <v>1018173.9348</v>
      </c>
      <c r="D10" s="94">
        <v>1038537.4134960001</v>
      </c>
    </row>
    <row r="11" spans="1:4">
      <c r="A11" s="93" t="s">
        <v>111</v>
      </c>
      <c r="B11" s="94">
        <v>98945.38</v>
      </c>
      <c r="C11" s="94">
        <v>99014.94</v>
      </c>
      <c r="D11" s="94">
        <v>100782.22</v>
      </c>
    </row>
    <row r="12" spans="1:4">
      <c r="A12" s="97" t="s">
        <v>43</v>
      </c>
      <c r="B12" s="94">
        <v>0</v>
      </c>
      <c r="C12" s="94">
        <v>0</v>
      </c>
      <c r="D12" s="94">
        <v>0</v>
      </c>
    </row>
    <row r="13" spans="1:4">
      <c r="A13" s="97" t="s">
        <v>40</v>
      </c>
      <c r="B13" s="94">
        <v>81065.38</v>
      </c>
      <c r="C13" s="94">
        <v>81134.94</v>
      </c>
      <c r="D13" s="94">
        <v>82902.22</v>
      </c>
    </row>
    <row r="14" spans="1:4">
      <c r="A14" s="97" t="s">
        <v>34</v>
      </c>
      <c r="B14" s="94">
        <v>17880</v>
      </c>
      <c r="C14" s="94">
        <v>17880</v>
      </c>
      <c r="D14" s="94">
        <v>17880</v>
      </c>
    </row>
    <row r="15" spans="1:4">
      <c r="A15" s="93" t="s">
        <v>170</v>
      </c>
      <c r="B15" s="94">
        <v>239926.05340000003</v>
      </c>
      <c r="C15" s="94">
        <v>289590.99360000005</v>
      </c>
      <c r="D15" s="94">
        <v>157436.71300000002</v>
      </c>
    </row>
    <row r="16" spans="1:4">
      <c r="A16" s="97" t="s">
        <v>43</v>
      </c>
      <c r="B16" s="94">
        <v>0</v>
      </c>
      <c r="C16" s="94">
        <v>90400</v>
      </c>
      <c r="D16" s="94">
        <v>0</v>
      </c>
    </row>
    <row r="17" spans="1:4">
      <c r="A17" s="97" t="s">
        <v>40</v>
      </c>
      <c r="B17" s="94">
        <v>135605.10340000002</v>
      </c>
      <c r="C17" s="94">
        <v>171304.04360000003</v>
      </c>
      <c r="D17" s="94">
        <v>127249.41300000002</v>
      </c>
    </row>
    <row r="18" spans="1:4">
      <c r="A18" s="97" t="s">
        <v>52</v>
      </c>
      <c r="B18" s="94">
        <v>104320.95000000001</v>
      </c>
      <c r="C18" s="94">
        <v>27886.95</v>
      </c>
      <c r="D18" s="94">
        <v>30187.3</v>
      </c>
    </row>
    <row r="19" spans="1:4">
      <c r="A19" s="93" t="s">
        <v>61</v>
      </c>
      <c r="B19" s="94">
        <v>375887.18599999999</v>
      </c>
      <c r="C19" s="94">
        <v>347544.68</v>
      </c>
      <c r="D19" s="94">
        <v>365768.114</v>
      </c>
    </row>
    <row r="20" spans="1:4">
      <c r="A20" s="97" t="s">
        <v>43</v>
      </c>
      <c r="B20" s="94">
        <v>0</v>
      </c>
      <c r="C20" s="94">
        <v>0</v>
      </c>
      <c r="D20" s="94">
        <v>0</v>
      </c>
    </row>
    <row r="21" spans="1:4">
      <c r="A21" s="97" t="s">
        <v>52</v>
      </c>
      <c r="B21" s="94">
        <v>57000</v>
      </c>
      <c r="C21" s="94">
        <v>28500</v>
      </c>
      <c r="D21" s="94">
        <v>46251</v>
      </c>
    </row>
    <row r="22" spans="1:4">
      <c r="A22" s="97" t="s">
        <v>34</v>
      </c>
      <c r="B22" s="94">
        <v>318887.18599999999</v>
      </c>
      <c r="C22" s="94">
        <v>319044.68</v>
      </c>
      <c r="D22" s="94">
        <v>319517.114</v>
      </c>
    </row>
    <row r="23" spans="1:4">
      <c r="A23" s="93" t="s">
        <v>25</v>
      </c>
      <c r="B23" s="94">
        <v>2440687.9559999998</v>
      </c>
      <c r="C23" s="94">
        <v>3277256.5720000002</v>
      </c>
      <c r="D23" s="94">
        <v>2566175.4426000006</v>
      </c>
    </row>
    <row r="24" spans="1:4">
      <c r="A24" s="97" t="s">
        <v>43</v>
      </c>
      <c r="B24" s="94">
        <v>0</v>
      </c>
      <c r="C24" s="94">
        <v>387176.10000000003</v>
      </c>
      <c r="D24" s="94">
        <v>0</v>
      </c>
    </row>
    <row r="25" spans="1:4">
      <c r="A25" s="97" t="s">
        <v>265</v>
      </c>
      <c r="B25" s="94">
        <v>1827017.84</v>
      </c>
      <c r="C25" s="94">
        <v>1918368.7320000003</v>
      </c>
      <c r="D25" s="94">
        <v>1986968.9826000007</v>
      </c>
    </row>
    <row r="26" spans="1:4">
      <c r="A26" s="97" t="s">
        <v>40</v>
      </c>
      <c r="B26" s="94">
        <v>302300</v>
      </c>
      <c r="C26" s="94">
        <v>656623.9</v>
      </c>
      <c r="D26" s="94">
        <v>239800</v>
      </c>
    </row>
    <row r="27" spans="1:4">
      <c r="A27" s="97" t="s">
        <v>52</v>
      </c>
      <c r="B27" s="94">
        <v>145040</v>
      </c>
      <c r="C27" s="94">
        <v>145040</v>
      </c>
      <c r="D27" s="94">
        <v>144984</v>
      </c>
    </row>
    <row r="28" spans="1:4">
      <c r="A28" s="97" t="s">
        <v>34</v>
      </c>
      <c r="B28" s="94">
        <v>166330.11600000001</v>
      </c>
      <c r="C28" s="94">
        <v>170047.84</v>
      </c>
      <c r="D28" s="94">
        <v>194422.46</v>
      </c>
    </row>
    <row r="29" spans="1:4">
      <c r="A29" s="93" t="s">
        <v>69</v>
      </c>
      <c r="B29" s="94">
        <v>5020</v>
      </c>
      <c r="C29" s="94">
        <v>2500</v>
      </c>
      <c r="D29" s="94">
        <v>2500</v>
      </c>
    </row>
    <row r="30" spans="1:4">
      <c r="A30" s="97" t="s">
        <v>43</v>
      </c>
      <c r="B30" s="94">
        <v>2500</v>
      </c>
      <c r="C30" s="94">
        <v>2500</v>
      </c>
      <c r="D30" s="94">
        <v>2500</v>
      </c>
    </row>
    <row r="31" spans="1:4">
      <c r="A31" s="97" t="s">
        <v>40</v>
      </c>
      <c r="B31" s="94">
        <v>2520</v>
      </c>
      <c r="C31" s="94">
        <v>0</v>
      </c>
      <c r="D31" s="94">
        <v>0</v>
      </c>
    </row>
    <row r="32" spans="1:4">
      <c r="A32" s="93" t="s">
        <v>152</v>
      </c>
      <c r="B32" s="94">
        <v>38975</v>
      </c>
      <c r="C32" s="94">
        <v>38975</v>
      </c>
      <c r="D32" s="94">
        <v>38975</v>
      </c>
    </row>
    <row r="33" spans="1:4">
      <c r="A33" s="97" t="s">
        <v>43</v>
      </c>
      <c r="B33" s="94">
        <v>0</v>
      </c>
      <c r="C33" s="94">
        <v>0</v>
      </c>
      <c r="D33" s="94">
        <v>0</v>
      </c>
    </row>
    <row r="34" spans="1:4">
      <c r="A34" s="97" t="s">
        <v>40</v>
      </c>
      <c r="B34" s="94">
        <v>8000</v>
      </c>
      <c r="C34" s="94">
        <v>8000</v>
      </c>
      <c r="D34" s="94">
        <v>8000</v>
      </c>
    </row>
    <row r="35" spans="1:4">
      <c r="A35" s="97" t="s">
        <v>52</v>
      </c>
      <c r="B35" s="94">
        <v>15975</v>
      </c>
      <c r="C35" s="94">
        <v>15975</v>
      </c>
      <c r="D35" s="94">
        <v>15975</v>
      </c>
    </row>
    <row r="36" spans="1:4">
      <c r="A36" s="97" t="s">
        <v>34</v>
      </c>
      <c r="B36" s="94">
        <v>15000</v>
      </c>
      <c r="C36" s="94">
        <v>15000</v>
      </c>
      <c r="D36" s="94">
        <v>15000</v>
      </c>
    </row>
    <row r="37" spans="1:4">
      <c r="A37" s="93" t="s">
        <v>45</v>
      </c>
      <c r="B37" s="94">
        <v>1203680</v>
      </c>
      <c r="C37" s="94">
        <v>1061321.98</v>
      </c>
      <c r="D37" s="94">
        <v>1094035.71</v>
      </c>
    </row>
    <row r="38" spans="1:4">
      <c r="A38" s="97" t="s">
        <v>43</v>
      </c>
      <c r="B38" s="94">
        <v>28298.6</v>
      </c>
      <c r="C38" s="94">
        <v>28298.6</v>
      </c>
      <c r="D38" s="94">
        <v>28300</v>
      </c>
    </row>
    <row r="39" spans="1:4">
      <c r="A39" s="97" t="s">
        <v>40</v>
      </c>
      <c r="B39" s="94">
        <v>151140</v>
      </c>
      <c r="C39" s="94">
        <v>81160</v>
      </c>
      <c r="D39" s="94">
        <v>69940</v>
      </c>
    </row>
    <row r="40" spans="1:4">
      <c r="A40" s="97" t="s">
        <v>52</v>
      </c>
      <c r="B40" s="94">
        <v>148300</v>
      </c>
      <c r="C40" s="94">
        <v>0</v>
      </c>
      <c r="D40" s="94">
        <v>0</v>
      </c>
    </row>
    <row r="41" spans="1:4">
      <c r="A41" s="97" t="s">
        <v>244</v>
      </c>
      <c r="B41" s="94">
        <v>431866.4</v>
      </c>
      <c r="C41" s="94">
        <v>475270.88</v>
      </c>
      <c r="D41" s="94">
        <v>518675.36</v>
      </c>
    </row>
    <row r="42" spans="1:4">
      <c r="A42" s="97" t="s">
        <v>34</v>
      </c>
      <c r="B42" s="94">
        <v>444075</v>
      </c>
      <c r="C42" s="94">
        <v>476592.5</v>
      </c>
      <c r="D42" s="94">
        <v>477120.35</v>
      </c>
    </row>
    <row r="43" spans="1:4" ht="19.8" customHeight="1">
      <c r="A43" s="93" t="s">
        <v>188</v>
      </c>
      <c r="B43" s="94">
        <v>50406</v>
      </c>
      <c r="C43" s="94">
        <v>50406</v>
      </c>
      <c r="D43" s="94">
        <v>51664</v>
      </c>
    </row>
    <row r="44" spans="1:4" ht="22.8" customHeight="1">
      <c r="A44" s="97" t="s">
        <v>34</v>
      </c>
      <c r="B44" s="94">
        <v>50406</v>
      </c>
      <c r="C44" s="94">
        <v>50406</v>
      </c>
      <c r="D44" s="94">
        <v>51664</v>
      </c>
    </row>
    <row r="45" spans="1:4">
      <c r="A45" s="93" t="s">
        <v>90</v>
      </c>
      <c r="B45" s="94">
        <v>14600</v>
      </c>
      <c r="C45" s="94">
        <v>14600</v>
      </c>
      <c r="D45" s="94">
        <v>14600</v>
      </c>
    </row>
    <row r="46" spans="1:4">
      <c r="A46" s="97" t="s">
        <v>43</v>
      </c>
      <c r="B46" s="94">
        <v>0</v>
      </c>
      <c r="C46" s="94">
        <v>0</v>
      </c>
      <c r="D46" s="94">
        <v>0</v>
      </c>
    </row>
    <row r="47" spans="1:4">
      <c r="A47" s="97" t="s">
        <v>40</v>
      </c>
      <c r="B47" s="94">
        <v>5000</v>
      </c>
      <c r="C47" s="94">
        <v>5000</v>
      </c>
      <c r="D47" s="94">
        <v>5000</v>
      </c>
    </row>
    <row r="48" spans="1:4">
      <c r="A48" s="97" t="s">
        <v>34</v>
      </c>
      <c r="B48" s="94">
        <v>9600</v>
      </c>
      <c r="C48" s="94">
        <v>9600</v>
      </c>
      <c r="D48" s="94">
        <v>9600</v>
      </c>
    </row>
    <row r="49" spans="1:4">
      <c r="A49" s="93" t="s">
        <v>221</v>
      </c>
      <c r="B49" s="94">
        <v>13639400.67</v>
      </c>
      <c r="C49" s="94">
        <v>13840263.013300002</v>
      </c>
      <c r="D49" s="94">
        <v>15540530.026041001</v>
      </c>
    </row>
    <row r="50" spans="1:4">
      <c r="A50" s="97" t="s">
        <v>43</v>
      </c>
      <c r="B50" s="94">
        <v>0</v>
      </c>
      <c r="C50" s="94">
        <v>0</v>
      </c>
      <c r="D50" s="94">
        <v>0</v>
      </c>
    </row>
    <row r="51" spans="1:4">
      <c r="A51" s="97" t="s">
        <v>226</v>
      </c>
      <c r="B51" s="94">
        <v>338122.02</v>
      </c>
      <c r="C51" s="94">
        <v>338122.02</v>
      </c>
      <c r="D51" s="94">
        <v>338122.02</v>
      </c>
    </row>
    <row r="52" spans="1:4">
      <c r="A52" s="97" t="s">
        <v>244</v>
      </c>
      <c r="B52" s="94">
        <v>2774049.26</v>
      </c>
      <c r="C52" s="94">
        <v>2596287.66</v>
      </c>
      <c r="D52" s="94">
        <v>3897109.68</v>
      </c>
    </row>
    <row r="53" spans="1:4">
      <c r="A53" s="97" t="s">
        <v>34</v>
      </c>
      <c r="B53" s="94">
        <v>10527229.390000001</v>
      </c>
      <c r="C53" s="94">
        <v>10905853.333300002</v>
      </c>
      <c r="D53" s="94">
        <v>11305298.326041002</v>
      </c>
    </row>
    <row r="54" spans="1:4">
      <c r="A54" s="93" t="s">
        <v>331</v>
      </c>
      <c r="B54" s="94">
        <v>19173282.1054</v>
      </c>
      <c r="C54" s="94">
        <v>20112191.2337</v>
      </c>
      <c r="D54" s="94">
        <v>21043548.759137005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757B-26BA-457C-B5EF-E4E7737DBB94}">
  <dimension ref="A3:C20"/>
  <sheetViews>
    <sheetView workbookViewId="0">
      <selection activeCell="H20" sqref="H20"/>
    </sheetView>
  </sheetViews>
  <sheetFormatPr baseColWidth="10" defaultRowHeight="14.4"/>
  <sheetData>
    <row r="3" spans="1:3">
      <c r="A3" s="120"/>
      <c r="B3" s="121"/>
      <c r="C3" s="122"/>
    </row>
    <row r="4" spans="1:3">
      <c r="A4" s="123"/>
      <c r="B4" s="124"/>
      <c r="C4" s="125"/>
    </row>
    <row r="5" spans="1:3">
      <c r="A5" s="123"/>
      <c r="B5" s="124"/>
      <c r="C5" s="125"/>
    </row>
    <row r="6" spans="1:3">
      <c r="A6" s="123"/>
      <c r="B6" s="124"/>
      <c r="C6" s="125"/>
    </row>
    <row r="7" spans="1:3">
      <c r="A7" s="123"/>
      <c r="B7" s="124"/>
      <c r="C7" s="125"/>
    </row>
    <row r="8" spans="1:3">
      <c r="A8" s="123"/>
      <c r="B8" s="124"/>
      <c r="C8" s="125"/>
    </row>
    <row r="9" spans="1:3">
      <c r="A9" s="123"/>
      <c r="B9" s="124"/>
      <c r="C9" s="125"/>
    </row>
    <row r="10" spans="1:3">
      <c r="A10" s="123"/>
      <c r="B10" s="124"/>
      <c r="C10" s="125"/>
    </row>
    <row r="11" spans="1:3">
      <c r="A11" s="123"/>
      <c r="B11" s="124"/>
      <c r="C11" s="125"/>
    </row>
    <row r="12" spans="1:3">
      <c r="A12" s="123"/>
      <c r="B12" s="124"/>
      <c r="C12" s="125"/>
    </row>
    <row r="13" spans="1:3">
      <c r="A13" s="123"/>
      <c r="B13" s="124"/>
      <c r="C13" s="125"/>
    </row>
    <row r="14" spans="1:3">
      <c r="A14" s="123"/>
      <c r="B14" s="124"/>
      <c r="C14" s="125"/>
    </row>
    <row r="15" spans="1:3">
      <c r="A15" s="123"/>
      <c r="B15" s="124"/>
      <c r="C15" s="125"/>
    </row>
    <row r="16" spans="1:3">
      <c r="A16" s="123"/>
      <c r="B16" s="124"/>
      <c r="C16" s="125"/>
    </row>
    <row r="17" spans="1:3">
      <c r="A17" s="123"/>
      <c r="B17" s="124"/>
      <c r="C17" s="125"/>
    </row>
    <row r="18" spans="1:3">
      <c r="A18" s="123"/>
      <c r="B18" s="124"/>
      <c r="C18" s="125"/>
    </row>
    <row r="19" spans="1:3">
      <c r="A19" s="123"/>
      <c r="B19" s="124"/>
      <c r="C19" s="125"/>
    </row>
    <row r="20" spans="1:3">
      <c r="A20" s="126"/>
      <c r="B20" s="127"/>
      <c r="C20"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PRESUPUESTO DETALLADO PENM TB</vt:lpstr>
      <vt:lpstr>PRESUPUESTO DETALLADO PENM  (2)</vt:lpstr>
      <vt:lpstr>Hoja2</vt:lpstr>
      <vt:lpstr>Hoja4</vt:lpstr>
      <vt:lpstr>Hoja5</vt:lpstr>
      <vt:lpstr>Hoja6</vt:lpstr>
      <vt:lpstr>Hoja7</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ANIBAL AYALA HERNANDEZ</dc:creator>
  <cp:lastModifiedBy>GILBERTO ANIBAL AYALA HERNANDEZ</cp:lastModifiedBy>
  <dcterms:created xsi:type="dcterms:W3CDTF">2024-03-13T15:12:39Z</dcterms:created>
  <dcterms:modified xsi:type="dcterms:W3CDTF">2024-04-29T17:54:47Z</dcterms:modified>
</cp:coreProperties>
</file>