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ra. Ana Flores\Desktop\"/>
    </mc:Choice>
  </mc:AlternateContent>
  <xr:revisionPtr revIDLastSave="0" documentId="8_{E9B76A73-5E5B-42C3-9CDC-637FAA889527}" xr6:coauthVersionLast="47" xr6:coauthVersionMax="47" xr10:uidLastSave="{00000000-0000-0000-0000-000000000000}"/>
  <bookViews>
    <workbookView xWindow="-108" yWindow="-108" windowWidth="23256" windowHeight="12576" firstSheet="4" activeTab="8" xr2:uid="{5CED1D7D-F338-432F-A3B6-6ED7D16A5905}"/>
  </bookViews>
  <sheets>
    <sheet name="Distribución 2023" sheetId="8" state="hidden" r:id="rId1"/>
    <sheet name="Segregación" sheetId="9" state="hidden" r:id="rId2"/>
    <sheet name="Distribución de Presupuesto VIH" sheetId="7" state="hidden" r:id="rId3"/>
    <sheet name="Presupuesto proyectado" sheetId="6" state="hidden" r:id="rId4"/>
    <sheet name="Resultados 2025" sheetId="5" r:id="rId5"/>
    <sheet name="Resultados 2026" sheetId="11" r:id="rId6"/>
    <sheet name="Resultados 2027" sheetId="13" r:id="rId7"/>
    <sheet name="Población" sheetId="1" r:id="rId8"/>
    <sheet name="Supuestos" sheetId="2" r:id="rId9"/>
  </sheets>
  <calcPr calcId="191028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3" l="1"/>
  <c r="D41" i="13"/>
  <c r="D43" i="11"/>
  <c r="D41" i="11"/>
  <c r="AC50" i="1"/>
  <c r="AB50" i="1"/>
  <c r="D50" i="1"/>
  <c r="E50" i="1"/>
  <c r="F50" i="1"/>
  <c r="G50" i="1"/>
  <c r="H50" i="1"/>
  <c r="I50" i="1"/>
  <c r="J50" i="1"/>
  <c r="C50" i="1"/>
  <c r="AE53" i="1"/>
  <c r="F7" i="5" s="1"/>
  <c r="Z53" i="1"/>
  <c r="E7" i="5" s="1"/>
  <c r="E7" i="11" s="1"/>
  <c r="E7" i="13" s="1"/>
  <c r="B5" i="13"/>
  <c r="B5" i="11"/>
  <c r="F35" i="2"/>
  <c r="G35" i="2"/>
  <c r="H35" i="2"/>
  <c r="I35" i="2"/>
  <c r="J35" i="2"/>
  <c r="C35" i="2"/>
  <c r="E35" i="2"/>
  <c r="D35" i="2"/>
  <c r="C32" i="2"/>
  <c r="C39" i="2"/>
  <c r="F7" i="11" l="1"/>
  <c r="F7" i="13" s="1"/>
  <c r="I78" i="8"/>
  <c r="L80" i="8"/>
  <c r="L79" i="8"/>
  <c r="L78" i="8"/>
  <c r="L77" i="8"/>
  <c r="L76" i="8"/>
  <c r="I80" i="8"/>
  <c r="I79" i="8"/>
  <c r="I77" i="8"/>
  <c r="I76" i="8"/>
  <c r="I75" i="8"/>
  <c r="K34" i="1"/>
  <c r="M80" i="8"/>
  <c r="M79" i="8"/>
  <c r="M78" i="8"/>
  <c r="M77" i="8"/>
  <c r="M76" i="8"/>
  <c r="M75" i="8"/>
  <c r="G80" i="8"/>
  <c r="G79" i="8"/>
  <c r="J79" i="8" s="1"/>
  <c r="G78" i="8"/>
  <c r="J78" i="8" s="1"/>
  <c r="G77" i="8"/>
  <c r="G76" i="8"/>
  <c r="G75" i="8"/>
  <c r="J75" i="8" s="1"/>
  <c r="J80" i="8"/>
  <c r="J77" i="8"/>
  <c r="J76" i="8"/>
  <c r="F80" i="8"/>
  <c r="F79" i="8"/>
  <c r="F78" i="8"/>
  <c r="F77" i="8"/>
  <c r="F76" i="8"/>
  <c r="F75" i="8"/>
  <c r="D81" i="8"/>
  <c r="C81" i="8"/>
  <c r="G51" i="9"/>
  <c r="G52" i="9"/>
  <c r="G53" i="9"/>
  <c r="G54" i="9"/>
  <c r="G55" i="9"/>
  <c r="G50" i="9"/>
  <c r="E29" i="2" l="1"/>
  <c r="D29" i="2"/>
  <c r="E46" i="9"/>
  <c r="F46" i="9"/>
  <c r="D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46" i="9" s="1"/>
  <c r="D4" i="8"/>
  <c r="D6" i="8" s="1"/>
  <c r="C4" i="8"/>
  <c r="C6" i="8" s="1"/>
  <c r="H44" i="7"/>
  <c r="G44" i="7"/>
  <c r="F44" i="7"/>
  <c r="H43" i="7"/>
  <c r="G43" i="7"/>
  <c r="F43" i="7"/>
  <c r="H38" i="7"/>
  <c r="F37" i="7"/>
  <c r="F10" i="7"/>
  <c r="H40" i="7"/>
  <c r="H28" i="7"/>
  <c r="H11" i="7"/>
  <c r="G42" i="7"/>
  <c r="F15" i="7"/>
  <c r="F22" i="7"/>
  <c r="I43" i="7" l="1"/>
  <c r="I44" i="7"/>
  <c r="H25" i="7"/>
  <c r="G27" i="7"/>
  <c r="G20" i="7"/>
  <c r="G26" i="7"/>
  <c r="G17" i="7"/>
  <c r="G22" i="7"/>
  <c r="G18" i="7"/>
  <c r="H42" i="7"/>
  <c r="F42" i="7"/>
  <c r="H41" i="7"/>
  <c r="G39" i="7"/>
  <c r="G38" i="7"/>
  <c r="G41" i="7"/>
  <c r="F40" i="7"/>
  <c r="F38" i="7"/>
  <c r="F41" i="7"/>
  <c r="G34" i="7"/>
  <c r="G30" i="7"/>
  <c r="F33" i="7"/>
  <c r="F35" i="7"/>
  <c r="G13" i="7"/>
  <c r="H37" i="7"/>
  <c r="G29" i="7"/>
  <c r="F11" i="7"/>
  <c r="F18" i="7"/>
  <c r="F21" i="7"/>
  <c r="H34" i="7"/>
  <c r="F17" i="7"/>
  <c r="F14" i="7"/>
  <c r="F28" i="7"/>
  <c r="F19" i="7"/>
  <c r="F31" i="7"/>
  <c r="F36" i="7"/>
  <c r="H35" i="7"/>
  <c r="G36" i="7"/>
  <c r="F29" i="7"/>
  <c r="F13" i="7"/>
  <c r="F25" i="7"/>
  <c r="H19" i="7"/>
  <c r="G23" i="7"/>
  <c r="F32" i="7"/>
  <c r="G31" i="7"/>
  <c r="G37" i="7"/>
  <c r="F24" i="7"/>
  <c r="H31" i="7"/>
  <c r="G33" i="7"/>
  <c r="G10" i="7"/>
  <c r="G14" i="7"/>
  <c r="H14" i="7"/>
  <c r="H10" i="7"/>
  <c r="H13" i="7"/>
  <c r="G16" i="7"/>
  <c r="H15" i="7"/>
  <c r="E45" i="7"/>
  <c r="H27" i="7"/>
  <c r="H23" i="7"/>
  <c r="H26" i="7"/>
  <c r="H22" i="7"/>
  <c r="H21" i="7"/>
  <c r="G15" i="7"/>
  <c r="H16" i="7"/>
  <c r="H24" i="7"/>
  <c r="F16" i="7"/>
  <c r="F27" i="7"/>
  <c r="F23" i="7"/>
  <c r="G19" i="7"/>
  <c r="G24" i="7"/>
  <c r="G28" i="7"/>
  <c r="H36" i="7"/>
  <c r="H29" i="7"/>
  <c r="F26" i="7"/>
  <c r="G25" i="7"/>
  <c r="F34" i="7"/>
  <c r="H33" i="7"/>
  <c r="G35" i="7"/>
  <c r="H17" i="7"/>
  <c r="D45" i="7"/>
  <c r="C45" i="7"/>
  <c r="I42" i="7" l="1"/>
  <c r="I28" i="7"/>
  <c r="I15" i="7"/>
  <c r="I10" i="7"/>
  <c r="I37" i="7"/>
  <c r="I33" i="7"/>
  <c r="G45" i="7"/>
  <c r="I22" i="7"/>
  <c r="I26" i="7"/>
  <c r="I19" i="7"/>
  <c r="H39" i="7"/>
  <c r="I41" i="7"/>
  <c r="I38" i="7"/>
  <c r="G40" i="7"/>
  <c r="I40" i="7" s="1"/>
  <c r="F45" i="7"/>
  <c r="F39" i="7"/>
  <c r="I34" i="7"/>
  <c r="I25" i="7"/>
  <c r="I35" i="7"/>
  <c r="I24" i="7"/>
  <c r="H45" i="7"/>
  <c r="I36" i="7"/>
  <c r="F12" i="7"/>
  <c r="I14" i="7"/>
  <c r="F20" i="7"/>
  <c r="I29" i="7"/>
  <c r="I13" i="7"/>
  <c r="I23" i="7"/>
  <c r="I31" i="7"/>
  <c r="H32" i="7"/>
  <c r="H30" i="7"/>
  <c r="I16" i="7"/>
  <c r="G11" i="7"/>
  <c r="I11" i="7" s="1"/>
  <c r="G12" i="7"/>
  <c r="F30" i="7"/>
  <c r="G21" i="7"/>
  <c r="I21" i="7" s="1"/>
  <c r="I27" i="7"/>
  <c r="H20" i="7"/>
  <c r="H18" i="7"/>
  <c r="I18" i="7" s="1"/>
  <c r="G32" i="7"/>
  <c r="H12" i="7"/>
  <c r="I17" i="7"/>
  <c r="I45" i="7" l="1"/>
  <c r="I30" i="7"/>
  <c r="I32" i="7"/>
  <c r="I39" i="7"/>
  <c r="I20" i="7"/>
  <c r="I12" i="7"/>
  <c r="K28" i="1" l="1"/>
  <c r="E10" i="6" l="1"/>
  <c r="D32" i="2"/>
  <c r="D6" i="1" s="1"/>
  <c r="E32" i="2"/>
  <c r="E6" i="1" s="1"/>
  <c r="D4" i="9" s="1"/>
  <c r="F32" i="2"/>
  <c r="G32" i="2"/>
  <c r="H32" i="2"/>
  <c r="I32" i="2"/>
  <c r="J32" i="2"/>
  <c r="F4" i="9" l="1"/>
  <c r="R21" i="1"/>
  <c r="R29" i="1"/>
  <c r="R37" i="1"/>
  <c r="R45" i="1"/>
  <c r="R22" i="1"/>
  <c r="R30" i="1"/>
  <c r="R38" i="1"/>
  <c r="R46" i="1"/>
  <c r="R44" i="1"/>
  <c r="R15" i="1"/>
  <c r="R23" i="1"/>
  <c r="R31" i="1"/>
  <c r="R39" i="1"/>
  <c r="R47" i="1"/>
  <c r="R36" i="1"/>
  <c r="R16" i="1"/>
  <c r="R24" i="1"/>
  <c r="R32" i="1"/>
  <c r="R40" i="1"/>
  <c r="R48" i="1"/>
  <c r="R20" i="1"/>
  <c r="R17" i="1"/>
  <c r="R25" i="1"/>
  <c r="R33" i="1"/>
  <c r="R41" i="1"/>
  <c r="R49" i="1"/>
  <c r="R18" i="1"/>
  <c r="R26" i="1"/>
  <c r="R34" i="1"/>
  <c r="R42" i="1"/>
  <c r="R14" i="1"/>
  <c r="R19" i="1"/>
  <c r="R27" i="1"/>
  <c r="R35" i="1"/>
  <c r="R43" i="1"/>
  <c r="R28" i="1"/>
  <c r="J4" i="1"/>
  <c r="J39" i="2"/>
  <c r="J10" i="1" s="1"/>
  <c r="J6" i="1"/>
  <c r="I4" i="1"/>
  <c r="I39" i="2"/>
  <c r="I10" i="1" s="1"/>
  <c r="I37" i="2"/>
  <c r="I8" i="1" s="1"/>
  <c r="I6" i="1"/>
  <c r="H4" i="1"/>
  <c r="H39" i="2"/>
  <c r="H10" i="1" s="1"/>
  <c r="H37" i="2"/>
  <c r="H8" i="1" s="1"/>
  <c r="H6" i="1"/>
  <c r="G4" i="1"/>
  <c r="G39" i="2"/>
  <c r="G10" i="1" s="1"/>
  <c r="G37" i="2"/>
  <c r="G8" i="1" s="1"/>
  <c r="G6" i="1"/>
  <c r="F4" i="1"/>
  <c r="F39" i="2"/>
  <c r="F10" i="1" s="1"/>
  <c r="F37" i="2"/>
  <c r="F8" i="1" s="1"/>
  <c r="F6" i="1"/>
  <c r="J37" i="2"/>
  <c r="J8" i="1" s="1"/>
  <c r="D39" i="2"/>
  <c r="D10" i="1" s="1"/>
  <c r="E4" i="1"/>
  <c r="E37" i="2"/>
  <c r="E8" i="1" s="1"/>
  <c r="D4" i="1"/>
  <c r="D37" i="2"/>
  <c r="D8" i="1" s="1"/>
  <c r="E39" i="2"/>
  <c r="E10" i="1" s="1"/>
  <c r="C4" i="1"/>
  <c r="C10" i="1"/>
  <c r="C37" i="2"/>
  <c r="C8" i="1" s="1"/>
  <c r="C6" i="1"/>
  <c r="AC22" i="1" l="1"/>
  <c r="AC38" i="1"/>
  <c r="AC46" i="1"/>
  <c r="AC47" i="1"/>
  <c r="AC23" i="1"/>
  <c r="AC24" i="1"/>
  <c r="AC32" i="1"/>
  <c r="AC40" i="1"/>
  <c r="AC48" i="1"/>
  <c r="AC33" i="1"/>
  <c r="AC41" i="1"/>
  <c r="AC49" i="1"/>
  <c r="AC43" i="1"/>
  <c r="AC39" i="1"/>
  <c r="AC25" i="1"/>
  <c r="AC26" i="1"/>
  <c r="AC34" i="1"/>
  <c r="AC42" i="1"/>
  <c r="AC19" i="1"/>
  <c r="AC27" i="1"/>
  <c r="AC35" i="1"/>
  <c r="AC20" i="1"/>
  <c r="AC28" i="1"/>
  <c r="AC36" i="1"/>
  <c r="AC44" i="1"/>
  <c r="AC21" i="1"/>
  <c r="AC29" i="1"/>
  <c r="AC37" i="1"/>
  <c r="AC45" i="1"/>
  <c r="AC30" i="1"/>
  <c r="AC31" i="1"/>
  <c r="W27" i="1"/>
  <c r="W44" i="1"/>
  <c r="W21" i="1"/>
  <c r="W29" i="1"/>
  <c r="W37" i="1"/>
  <c r="W45" i="1"/>
  <c r="W22" i="1"/>
  <c r="W30" i="1"/>
  <c r="W46" i="1"/>
  <c r="W24" i="1"/>
  <c r="W48" i="1"/>
  <c r="W28" i="1"/>
  <c r="W38" i="1"/>
  <c r="W40" i="1"/>
  <c r="W35" i="1"/>
  <c r="W23" i="1"/>
  <c r="W31" i="1"/>
  <c r="W39" i="1"/>
  <c r="W47" i="1"/>
  <c r="W32" i="1"/>
  <c r="W36" i="1"/>
  <c r="W25" i="1"/>
  <c r="W33" i="1"/>
  <c r="W41" i="1"/>
  <c r="W49" i="1"/>
  <c r="W26" i="1"/>
  <c r="W34" i="1"/>
  <c r="W42" i="1"/>
  <c r="W19" i="1"/>
  <c r="W43" i="1"/>
  <c r="W20" i="1"/>
  <c r="R50" i="1"/>
  <c r="V40" i="1"/>
  <c r="V49" i="1"/>
  <c r="V41" i="1"/>
  <c r="V26" i="1"/>
  <c r="V34" i="1"/>
  <c r="V42" i="1"/>
  <c r="V35" i="1"/>
  <c r="V37" i="1"/>
  <c r="V32" i="1"/>
  <c r="V33" i="1"/>
  <c r="V27" i="1"/>
  <c r="V43" i="1"/>
  <c r="V21" i="1"/>
  <c r="V45" i="1"/>
  <c r="V24" i="1"/>
  <c r="V20" i="1"/>
  <c r="V28" i="1"/>
  <c r="V36" i="1"/>
  <c r="V44" i="1"/>
  <c r="V29" i="1"/>
  <c r="V19" i="1"/>
  <c r="V22" i="1"/>
  <c r="V30" i="1"/>
  <c r="V38" i="1"/>
  <c r="V46" i="1"/>
  <c r="V23" i="1"/>
  <c r="V31" i="1"/>
  <c r="V39" i="1"/>
  <c r="V47" i="1"/>
  <c r="V48" i="1"/>
  <c r="V25" i="1"/>
  <c r="AB23" i="1"/>
  <c r="AB31" i="1"/>
  <c r="AB39" i="1"/>
  <c r="AB47" i="1"/>
  <c r="AB48" i="1"/>
  <c r="AB25" i="1"/>
  <c r="AB33" i="1"/>
  <c r="AB41" i="1"/>
  <c r="AB49" i="1"/>
  <c r="AB26" i="1"/>
  <c r="AB34" i="1"/>
  <c r="AB42" i="1"/>
  <c r="AB19" i="1"/>
  <c r="AB44" i="1"/>
  <c r="AB32" i="1"/>
  <c r="AB28" i="1"/>
  <c r="AB27" i="1"/>
  <c r="AB35" i="1"/>
  <c r="AB43" i="1"/>
  <c r="AB20" i="1"/>
  <c r="AB40" i="1"/>
  <c r="AB36" i="1"/>
  <c r="AB21" i="1"/>
  <c r="AB29" i="1"/>
  <c r="AB37" i="1"/>
  <c r="AB45" i="1"/>
  <c r="AB22" i="1"/>
  <c r="AB30" i="1"/>
  <c r="AB38" i="1"/>
  <c r="AB46" i="1"/>
  <c r="AB24" i="1"/>
  <c r="X34" i="1"/>
  <c r="X35" i="1"/>
  <c r="X27" i="1"/>
  <c r="X20" i="1"/>
  <c r="X28" i="1"/>
  <c r="X36" i="1"/>
  <c r="X44" i="1"/>
  <c r="X21" i="1"/>
  <c r="X29" i="1"/>
  <c r="X37" i="1"/>
  <c r="X23" i="1"/>
  <c r="X19" i="1"/>
  <c r="X45" i="1"/>
  <c r="X31" i="1"/>
  <c r="X47" i="1"/>
  <c r="X22" i="1"/>
  <c r="X30" i="1"/>
  <c r="X38" i="1"/>
  <c r="X46" i="1"/>
  <c r="X39" i="1"/>
  <c r="X43" i="1"/>
  <c r="X24" i="1"/>
  <c r="X32" i="1"/>
  <c r="X40" i="1"/>
  <c r="X48" i="1"/>
  <c r="X25" i="1"/>
  <c r="X33" i="1"/>
  <c r="X41" i="1"/>
  <c r="X49" i="1"/>
  <c r="X26" i="1"/>
  <c r="X42" i="1"/>
  <c r="AA24" i="1"/>
  <c r="AA40" i="1"/>
  <c r="AA49" i="1"/>
  <c r="AA25" i="1"/>
  <c r="AA50" i="1" s="1"/>
  <c r="AA26" i="1"/>
  <c r="AA34" i="1"/>
  <c r="AA42" i="1"/>
  <c r="AA19" i="1"/>
  <c r="AA27" i="1"/>
  <c r="AA35" i="1"/>
  <c r="AA43" i="1"/>
  <c r="AA37" i="1"/>
  <c r="AA41" i="1"/>
  <c r="AA29" i="1"/>
  <c r="AA20" i="1"/>
  <c r="AA28" i="1"/>
  <c r="AA36" i="1"/>
  <c r="AA44" i="1"/>
  <c r="AA21" i="1"/>
  <c r="AA45" i="1"/>
  <c r="AA22" i="1"/>
  <c r="AA30" i="1"/>
  <c r="AA38" i="1"/>
  <c r="AA46" i="1"/>
  <c r="AA23" i="1"/>
  <c r="AA31" i="1"/>
  <c r="AA39" i="1"/>
  <c r="AA47" i="1"/>
  <c r="AA32" i="1"/>
  <c r="AA48" i="1"/>
  <c r="AA33" i="1"/>
  <c r="Q17" i="1"/>
  <c r="Q25" i="1"/>
  <c r="Q33" i="1"/>
  <c r="Q41" i="1"/>
  <c r="Q49" i="1"/>
  <c r="Q24" i="1"/>
  <c r="Q18" i="1"/>
  <c r="Q26" i="1"/>
  <c r="Q34" i="1"/>
  <c r="Q42" i="1"/>
  <c r="Q14" i="1"/>
  <c r="Q48" i="1"/>
  <c r="Q19" i="1"/>
  <c r="Q27" i="1"/>
  <c r="Q35" i="1"/>
  <c r="Q43" i="1"/>
  <c r="U14" i="1"/>
  <c r="Q32" i="1"/>
  <c r="Q20" i="1"/>
  <c r="Q28" i="1"/>
  <c r="Q36" i="1"/>
  <c r="Q44" i="1"/>
  <c r="Q16" i="1"/>
  <c r="Q21" i="1"/>
  <c r="Q29" i="1"/>
  <c r="Q37" i="1"/>
  <c r="Q45" i="1"/>
  <c r="Q22" i="1"/>
  <c r="Q30" i="1"/>
  <c r="Q38" i="1"/>
  <c r="Q46" i="1"/>
  <c r="Q15" i="1"/>
  <c r="Q23" i="1"/>
  <c r="Q31" i="1"/>
  <c r="Q39" i="1"/>
  <c r="Q47" i="1"/>
  <c r="Q40" i="1"/>
  <c r="N48" i="1"/>
  <c r="N39" i="1"/>
  <c r="N32" i="1"/>
  <c r="N49" i="1"/>
  <c r="N40" i="1"/>
  <c r="N41" i="1"/>
  <c r="N34" i="1"/>
  <c r="N42" i="1"/>
  <c r="N43" i="1"/>
  <c r="N36" i="1"/>
  <c r="N47" i="1"/>
  <c r="N45" i="1"/>
  <c r="N38" i="1"/>
  <c r="N44" i="1"/>
  <c r="N35" i="1"/>
  <c r="N46" i="1"/>
  <c r="N37" i="1"/>
  <c r="N33" i="1"/>
  <c r="M46" i="1"/>
  <c r="M37" i="1"/>
  <c r="M40" i="1"/>
  <c r="M48" i="1"/>
  <c r="M39" i="1"/>
  <c r="M32" i="1"/>
  <c r="M49" i="1"/>
  <c r="M47" i="1"/>
  <c r="M41" i="1"/>
  <c r="M34" i="1"/>
  <c r="M45" i="1"/>
  <c r="M38" i="1"/>
  <c r="M43" i="1"/>
  <c r="M36" i="1"/>
  <c r="M42" i="1"/>
  <c r="M33" i="1"/>
  <c r="M44" i="1"/>
  <c r="M35" i="1"/>
  <c r="L44" i="1"/>
  <c r="L35" i="1"/>
  <c r="L36" i="1"/>
  <c r="L46" i="1"/>
  <c r="L37" i="1"/>
  <c r="L43" i="1"/>
  <c r="L38" i="1"/>
  <c r="L48" i="1"/>
  <c r="L39" i="1"/>
  <c r="L32" i="1"/>
  <c r="L41" i="1"/>
  <c r="L34" i="1"/>
  <c r="L45" i="1"/>
  <c r="L49" i="1"/>
  <c r="L47" i="1"/>
  <c r="L40" i="1"/>
  <c r="L42" i="1"/>
  <c r="L33" i="1"/>
  <c r="M30" i="1"/>
  <c r="M31" i="1"/>
  <c r="N31" i="1"/>
  <c r="N30" i="1"/>
  <c r="L31" i="1"/>
  <c r="L30" i="1"/>
  <c r="N29" i="1"/>
  <c r="N27" i="1"/>
  <c r="N26" i="1"/>
  <c r="N28" i="1"/>
  <c r="M27" i="1"/>
  <c r="M29" i="1"/>
  <c r="M26" i="1"/>
  <c r="M28" i="1"/>
  <c r="L27" i="1"/>
  <c r="L29" i="1"/>
  <c r="L26" i="1"/>
  <c r="L28" i="1"/>
  <c r="F2" i="9"/>
  <c r="M20" i="1"/>
  <c r="M15" i="1"/>
  <c r="M24" i="1"/>
  <c r="M25" i="1"/>
  <c r="M22" i="1"/>
  <c r="M17" i="1"/>
  <c r="M21" i="1"/>
  <c r="M19" i="1"/>
  <c r="M16" i="1"/>
  <c r="M14" i="1"/>
  <c r="M23" i="1"/>
  <c r="M18" i="1"/>
  <c r="D2" i="9"/>
  <c r="N25" i="1"/>
  <c r="N19" i="1"/>
  <c r="N16" i="1"/>
  <c r="N22" i="1"/>
  <c r="N17" i="1"/>
  <c r="N15" i="1"/>
  <c r="N21" i="1"/>
  <c r="N24" i="1"/>
  <c r="N23" i="1"/>
  <c r="N18" i="1"/>
  <c r="N20" i="1"/>
  <c r="N14" i="1"/>
  <c r="L23" i="1"/>
  <c r="L18" i="1"/>
  <c r="P14" i="1"/>
  <c r="L20" i="1"/>
  <c r="L25" i="1"/>
  <c r="L22" i="1"/>
  <c r="L17" i="1"/>
  <c r="L15" i="1"/>
  <c r="L21" i="1"/>
  <c r="L16" i="1"/>
  <c r="L14" i="1"/>
  <c r="L19" i="1"/>
  <c r="L24" i="1"/>
  <c r="Z49" i="1"/>
  <c r="AE49" i="1"/>
  <c r="AD49" i="1" s="1"/>
  <c r="U44" i="1"/>
  <c r="U36" i="1"/>
  <c r="T36" i="1" s="1"/>
  <c r="U17" i="1"/>
  <c r="T17" i="1" s="1"/>
  <c r="U48" i="1"/>
  <c r="U45" i="1"/>
  <c r="U43" i="1"/>
  <c r="T43" i="1" s="1"/>
  <c r="U35" i="1"/>
  <c r="U16" i="1"/>
  <c r="T16" i="1" s="1"/>
  <c r="U39" i="1"/>
  <c r="U18" i="1"/>
  <c r="U42" i="1"/>
  <c r="U34" i="1"/>
  <c r="T34" i="1" s="1"/>
  <c r="U15" i="1"/>
  <c r="T15" i="1" s="1"/>
  <c r="U30" i="1"/>
  <c r="T30" i="1" s="1"/>
  <c r="U32" i="1"/>
  <c r="U37" i="1"/>
  <c r="U49" i="1"/>
  <c r="U41" i="1"/>
  <c r="U33" i="1"/>
  <c r="U40" i="1"/>
  <c r="T40" i="1" s="1"/>
  <c r="U47" i="1"/>
  <c r="U46" i="1"/>
  <c r="U38" i="1"/>
  <c r="U31" i="1"/>
  <c r="P49" i="1"/>
  <c r="E2" i="9"/>
  <c r="U26" i="1"/>
  <c r="U24" i="1"/>
  <c r="U29" i="1"/>
  <c r="U25" i="1"/>
  <c r="U23" i="1"/>
  <c r="U21" i="1"/>
  <c r="U19" i="1"/>
  <c r="U22" i="1"/>
  <c r="Z22" i="1"/>
  <c r="Y22" i="1" s="1"/>
  <c r="U20" i="1"/>
  <c r="AE35" i="1"/>
  <c r="U27" i="1"/>
  <c r="P20" i="1"/>
  <c r="AE22" i="1"/>
  <c r="AD22" i="1" s="1"/>
  <c r="P48" i="1"/>
  <c r="P47" i="1"/>
  <c r="O47" i="1" s="1"/>
  <c r="P43" i="1"/>
  <c r="AE19" i="1"/>
  <c r="AD19" i="1" s="1"/>
  <c r="AE42" i="1"/>
  <c r="AD42" i="1" s="1"/>
  <c r="AE39" i="1"/>
  <c r="P30" i="1"/>
  <c r="P25" i="1"/>
  <c r="P16" i="1"/>
  <c r="P31" i="1"/>
  <c r="AE24" i="1"/>
  <c r="AD24" i="1" s="1"/>
  <c r="AE23" i="1"/>
  <c r="AD23" i="1" s="1"/>
  <c r="P44" i="1"/>
  <c r="P26" i="1"/>
  <c r="AE27" i="1"/>
  <c r="AE28" i="1"/>
  <c r="AD28" i="1" s="1"/>
  <c r="AE36" i="1"/>
  <c r="Z19" i="1"/>
  <c r="P45" i="1"/>
  <c r="P32" i="1"/>
  <c r="P22" i="1"/>
  <c r="AE41" i="1"/>
  <c r="AE25" i="1"/>
  <c r="AE50" i="1" s="1"/>
  <c r="Z28" i="1"/>
  <c r="Y28" i="1" s="1"/>
  <c r="Z32" i="1"/>
  <c r="P41" i="1"/>
  <c r="P18" i="1"/>
  <c r="AE32" i="1"/>
  <c r="AD32" i="1" s="1"/>
  <c r="Z25" i="1"/>
  <c r="Z21" i="1"/>
  <c r="P29" i="1"/>
  <c r="P23" i="1"/>
  <c r="P46" i="1"/>
  <c r="AE34" i="1"/>
  <c r="AE31" i="1"/>
  <c r="AD31" i="1" s="1"/>
  <c r="Z31" i="1"/>
  <c r="Y31" i="1" s="1"/>
  <c r="AE44" i="1"/>
  <c r="AD44" i="1" s="1"/>
  <c r="AE45" i="1"/>
  <c r="AE21" i="1"/>
  <c r="P17" i="1"/>
  <c r="AE47" i="1"/>
  <c r="P27" i="1"/>
  <c r="AE29" i="1"/>
  <c r="AD29" i="1" s="1"/>
  <c r="P28" i="1"/>
  <c r="P24" i="1"/>
  <c r="P15" i="1"/>
  <c r="P42" i="1"/>
  <c r="AE38" i="1"/>
  <c r="AD38" i="1" s="1"/>
  <c r="AE37" i="1"/>
  <c r="U28" i="1"/>
  <c r="E4" i="9"/>
  <c r="Z39" i="1"/>
  <c r="Y39" i="1" s="1"/>
  <c r="Z44" i="1"/>
  <c r="Y44" i="1" s="1"/>
  <c r="Z45" i="1"/>
  <c r="Z46" i="1"/>
  <c r="Z43" i="1"/>
  <c r="Y43" i="1" s="1"/>
  <c r="Z48" i="1"/>
  <c r="Z26" i="1"/>
  <c r="Z23" i="1"/>
  <c r="Y23" i="1" s="1"/>
  <c r="P21" i="1"/>
  <c r="AE43" i="1"/>
  <c r="AD43" i="1" s="1"/>
  <c r="Z47" i="1"/>
  <c r="Y47" i="1" s="1"/>
  <c r="Z29" i="1"/>
  <c r="Y29" i="1" s="1"/>
  <c r="Z30" i="1"/>
  <c r="Y30" i="1" s="1"/>
  <c r="P19" i="1"/>
  <c r="Z24" i="1"/>
  <c r="Y24" i="1" s="1"/>
  <c r="Z38" i="1"/>
  <c r="Y38" i="1" s="1"/>
  <c r="Z33" i="1"/>
  <c r="Y33" i="1" s="1"/>
  <c r="Z20" i="1"/>
  <c r="Y20" i="1" s="1"/>
  <c r="P37" i="1"/>
  <c r="P39" i="1"/>
  <c r="P38" i="1"/>
  <c r="AE26" i="1"/>
  <c r="AE46" i="1"/>
  <c r="AD46" i="1" s="1"/>
  <c r="AE33" i="1"/>
  <c r="AD33" i="1" s="1"/>
  <c r="Z27" i="1"/>
  <c r="Y27" i="1" s="1"/>
  <c r="Z36" i="1"/>
  <c r="Y36" i="1" s="1"/>
  <c r="Z37" i="1"/>
  <c r="Y37" i="1" s="1"/>
  <c r="AE20" i="1"/>
  <c r="AD20" i="1" s="1"/>
  <c r="P33" i="1"/>
  <c r="P36" i="1"/>
  <c r="P35" i="1"/>
  <c r="P34" i="1"/>
  <c r="AE30" i="1"/>
  <c r="AD30" i="1" s="1"/>
  <c r="AE48" i="1"/>
  <c r="AD48" i="1" s="1"/>
  <c r="Z35" i="1"/>
  <c r="Y35" i="1" s="1"/>
  <c r="Z41" i="1"/>
  <c r="Z34" i="1"/>
  <c r="Y34" i="1" s="1"/>
  <c r="Z42" i="1"/>
  <c r="Y42" i="1" s="1"/>
  <c r="T24" i="1" l="1"/>
  <c r="AA51" i="1"/>
  <c r="AC51" i="1"/>
  <c r="AB51" i="1"/>
  <c r="Y26" i="1"/>
  <c r="AD34" i="1"/>
  <c r="Y19" i="1"/>
  <c r="AD26" i="1"/>
  <c r="Y48" i="1"/>
  <c r="AD37" i="1"/>
  <c r="AD47" i="1"/>
  <c r="Y32" i="1"/>
  <c r="AD36" i="1"/>
  <c r="T19" i="1"/>
  <c r="T49" i="1"/>
  <c r="T44" i="1"/>
  <c r="Y41" i="1"/>
  <c r="Y46" i="1"/>
  <c r="AD21" i="1"/>
  <c r="AD25" i="1"/>
  <c r="AD50" i="1" s="1"/>
  <c r="AD51" i="1" s="1"/>
  <c r="AD27" i="1"/>
  <c r="T38" i="1"/>
  <c r="Y49" i="1"/>
  <c r="V50" i="1"/>
  <c r="W50" i="1"/>
  <c r="O37" i="1"/>
  <c r="Y45" i="1"/>
  <c r="AD45" i="1"/>
  <c r="Y21" i="1"/>
  <c r="AD41" i="1"/>
  <c r="AD39" i="1"/>
  <c r="T27" i="1"/>
  <c r="T25" i="1"/>
  <c r="T46" i="1"/>
  <c r="Y25" i="1"/>
  <c r="AD35" i="1"/>
  <c r="T45" i="1"/>
  <c r="H14" i="9"/>
  <c r="C24" i="8" s="1"/>
  <c r="O14" i="1"/>
  <c r="X50" i="1"/>
  <c r="Q50" i="1"/>
  <c r="T20" i="1"/>
  <c r="O45" i="1"/>
  <c r="O43" i="1"/>
  <c r="T26" i="1"/>
  <c r="T33" i="1"/>
  <c r="T42" i="1"/>
  <c r="U50" i="1"/>
  <c r="R51" i="1" s="1"/>
  <c r="T14" i="1"/>
  <c r="T39" i="1"/>
  <c r="S50" i="1"/>
  <c r="T47" i="1"/>
  <c r="O44" i="1"/>
  <c r="T48" i="1"/>
  <c r="T22" i="1"/>
  <c r="T41" i="1"/>
  <c r="T21" i="1"/>
  <c r="T31" i="1"/>
  <c r="T37" i="1"/>
  <c r="T29" i="1"/>
  <c r="T28" i="1"/>
  <c r="T18" i="1"/>
  <c r="T23" i="1"/>
  <c r="T32" i="1"/>
  <c r="T35" i="1"/>
  <c r="O46" i="1"/>
  <c r="O42" i="1"/>
  <c r="O34" i="1"/>
  <c r="L50" i="1"/>
  <c r="O35" i="1"/>
  <c r="O41" i="1"/>
  <c r="O31" i="1"/>
  <c r="O30" i="1"/>
  <c r="O38" i="1"/>
  <c r="O48" i="1"/>
  <c r="M50" i="1"/>
  <c r="O32" i="1"/>
  <c r="O33" i="1"/>
  <c r="N50" i="1"/>
  <c r="O49" i="1"/>
  <c r="O36" i="1"/>
  <c r="O39" i="1"/>
  <c r="O27" i="1"/>
  <c r="H55" i="9"/>
  <c r="H16" i="9"/>
  <c r="C26" i="8" s="1"/>
  <c r="O16" i="1"/>
  <c r="H44" i="9"/>
  <c r="C46" i="8" s="1"/>
  <c r="I46" i="8" s="1"/>
  <c r="O15" i="1"/>
  <c r="O28" i="1"/>
  <c r="O26" i="1"/>
  <c r="H34" i="9"/>
  <c r="C39" i="8" s="1"/>
  <c r="I39" i="8" s="1"/>
  <c r="O18" i="1"/>
  <c r="O20" i="1"/>
  <c r="H11" i="9"/>
  <c r="C21" i="8" s="1"/>
  <c r="I21" i="8" s="1"/>
  <c r="O29" i="1"/>
  <c r="H32" i="9"/>
  <c r="C37" i="8" s="1"/>
  <c r="H30" i="9"/>
  <c r="C35" i="8" s="1"/>
  <c r="I35" i="8" s="1"/>
  <c r="H15" i="9"/>
  <c r="C25" i="8" s="1"/>
  <c r="I25" i="8" s="1"/>
  <c r="H40" i="9"/>
  <c r="C52" i="8" s="1"/>
  <c r="I52" i="8" s="1"/>
  <c r="H13" i="9"/>
  <c r="C23" i="8" s="1"/>
  <c r="I23" i="8" s="1"/>
  <c r="H12" i="9"/>
  <c r="C22" i="8" s="1"/>
  <c r="I22" i="8" s="1"/>
  <c r="O22" i="1"/>
  <c r="O21" i="1"/>
  <c r="H26" i="9"/>
  <c r="C16" i="8" s="1"/>
  <c r="F16" i="8" s="1"/>
  <c r="I16" i="8" s="1"/>
  <c r="H42" i="9"/>
  <c r="C44" i="8" s="1"/>
  <c r="I44" i="8" s="1"/>
  <c r="H41" i="9"/>
  <c r="C43" i="8" s="1"/>
  <c r="I43" i="8" s="1"/>
  <c r="H36" i="9"/>
  <c r="C41" i="8" s="1"/>
  <c r="F41" i="8" s="1"/>
  <c r="I41" i="8" s="1"/>
  <c r="H18" i="9"/>
  <c r="C28" i="8" s="1"/>
  <c r="F28" i="8" s="1"/>
  <c r="H20" i="9"/>
  <c r="C30" i="8" s="1"/>
  <c r="F30" i="8" s="1"/>
  <c r="H37" i="9"/>
  <c r="C49" i="8" s="1"/>
  <c r="F49" i="8" s="1"/>
  <c r="I49" i="8" s="1"/>
  <c r="P54" i="1"/>
  <c r="C8" i="5" s="1"/>
  <c r="C8" i="11" s="1"/>
  <c r="C8" i="13" s="1"/>
  <c r="U54" i="1"/>
  <c r="D8" i="5" s="1"/>
  <c r="D8" i="11" s="1"/>
  <c r="D8" i="13" s="1"/>
  <c r="H22" i="9"/>
  <c r="C12" i="8" s="1"/>
  <c r="F12" i="8" s="1"/>
  <c r="H50" i="9"/>
  <c r="O24" i="1"/>
  <c r="H27" i="9"/>
  <c r="C32" i="8" s="1"/>
  <c r="I32" i="8" s="1"/>
  <c r="H23" i="9"/>
  <c r="C13" i="8" s="1"/>
  <c r="I13" i="8" s="1"/>
  <c r="H9" i="9"/>
  <c r="C19" i="8" s="1"/>
  <c r="I19" i="8" s="1"/>
  <c r="H54" i="9"/>
  <c r="O23" i="1"/>
  <c r="H24" i="9"/>
  <c r="C14" i="8" s="1"/>
  <c r="F14" i="8" s="1"/>
  <c r="I14" i="8" s="1"/>
  <c r="H19" i="9"/>
  <c r="C29" i="8" s="1"/>
  <c r="F29" i="8" s="1"/>
  <c r="I29" i="8" s="1"/>
  <c r="H8" i="9"/>
  <c r="C18" i="8" s="1"/>
  <c r="I18" i="8" s="1"/>
  <c r="O25" i="1"/>
  <c r="H39" i="9"/>
  <c r="C51" i="8" s="1"/>
  <c r="H35" i="9"/>
  <c r="C40" i="8" s="1"/>
  <c r="F40" i="8" s="1"/>
  <c r="I40" i="8" s="1"/>
  <c r="L40" i="8" s="1"/>
  <c r="N40" i="8" s="1"/>
  <c r="H45" i="9"/>
  <c r="C47" i="8" s="1"/>
  <c r="I47" i="8" s="1"/>
  <c r="H38" i="9"/>
  <c r="C50" i="8" s="1"/>
  <c r="I50" i="8" s="1"/>
  <c r="H21" i="9"/>
  <c r="C11" i="8" s="1"/>
  <c r="F11" i="8" s="1"/>
  <c r="I11" i="8" s="1"/>
  <c r="O17" i="1"/>
  <c r="H33" i="9"/>
  <c r="C38" i="8" s="1"/>
  <c r="F38" i="8" s="1"/>
  <c r="I38" i="8" s="1"/>
  <c r="H43" i="9"/>
  <c r="C45" i="8" s="1"/>
  <c r="I45" i="8" s="1"/>
  <c r="H25" i="9"/>
  <c r="C15" i="8" s="1"/>
  <c r="F15" i="8" s="1"/>
  <c r="I15" i="8" s="1"/>
  <c r="H31" i="9"/>
  <c r="C36" i="8" s="1"/>
  <c r="F36" i="8" s="1"/>
  <c r="I36" i="8" s="1"/>
  <c r="H17" i="9"/>
  <c r="C27" i="8" s="1"/>
  <c r="F27" i="8" s="1"/>
  <c r="I27" i="8" s="1"/>
  <c r="O19" i="1"/>
  <c r="Z55" i="1"/>
  <c r="E9" i="5" s="1"/>
  <c r="E9" i="11" s="1"/>
  <c r="E9" i="13" s="1"/>
  <c r="Z54" i="1"/>
  <c r="E8" i="5" s="1"/>
  <c r="E8" i="11" s="1"/>
  <c r="U56" i="1"/>
  <c r="D10" i="5" s="1"/>
  <c r="P53" i="1"/>
  <c r="C7" i="5" s="1"/>
  <c r="U53" i="1"/>
  <c r="D7" i="5" s="1"/>
  <c r="D7" i="11" s="1"/>
  <c r="P55" i="1"/>
  <c r="C9" i="5" s="1"/>
  <c r="C9" i="11" s="1"/>
  <c r="C9" i="13" s="1"/>
  <c r="H28" i="9"/>
  <c r="C33" i="8" s="1"/>
  <c r="I33" i="8" s="1"/>
  <c r="H52" i="9"/>
  <c r="AE54" i="1"/>
  <c r="F8" i="5" s="1"/>
  <c r="F8" i="11" s="1"/>
  <c r="U55" i="1"/>
  <c r="D9" i="5" s="1"/>
  <c r="D9" i="11" s="1"/>
  <c r="D9" i="13" s="1"/>
  <c r="H10" i="9"/>
  <c r="C20" i="8" s="1"/>
  <c r="I20" i="8" s="1"/>
  <c r="H53" i="9"/>
  <c r="AE55" i="1"/>
  <c r="F9" i="5" s="1"/>
  <c r="F9" i="11" s="1"/>
  <c r="F9" i="13" s="1"/>
  <c r="H29" i="9"/>
  <c r="C34" i="8" s="1"/>
  <c r="I34" i="8" s="1"/>
  <c r="I10" i="9"/>
  <c r="D20" i="8" s="1"/>
  <c r="I30" i="9"/>
  <c r="D35" i="8" s="1"/>
  <c r="I15" i="9"/>
  <c r="D25" i="8" s="1"/>
  <c r="I45" i="9"/>
  <c r="D47" i="8" s="1"/>
  <c r="I18" i="9"/>
  <c r="D28" i="8" s="1"/>
  <c r="I55" i="9"/>
  <c r="I8" i="9"/>
  <c r="D18" i="8" s="1"/>
  <c r="I33" i="9"/>
  <c r="D38" i="8" s="1"/>
  <c r="I54" i="9"/>
  <c r="I38" i="9"/>
  <c r="D50" i="8" s="1"/>
  <c r="I36" i="9"/>
  <c r="D41" i="8" s="1"/>
  <c r="I21" i="9"/>
  <c r="D11" i="8" s="1"/>
  <c r="I41" i="9"/>
  <c r="D43" i="8" s="1"/>
  <c r="I26" i="9"/>
  <c r="D16" i="8" s="1"/>
  <c r="I24" i="9"/>
  <c r="D14" i="8" s="1"/>
  <c r="I9" i="9"/>
  <c r="D19" i="8" s="1"/>
  <c r="I29" i="9"/>
  <c r="D34" i="8" s="1"/>
  <c r="I14" i="9"/>
  <c r="D24" i="8" s="1"/>
  <c r="I12" i="9"/>
  <c r="D22" i="8" s="1"/>
  <c r="I44" i="9"/>
  <c r="D46" i="8" s="1"/>
  <c r="I17" i="9"/>
  <c r="D27" i="8" s="1"/>
  <c r="I53" i="9"/>
  <c r="I50" i="9"/>
  <c r="I32" i="9"/>
  <c r="D37" i="8" s="1"/>
  <c r="I52" i="9"/>
  <c r="I37" i="9"/>
  <c r="D49" i="8" s="1"/>
  <c r="I35" i="9"/>
  <c r="D40" i="8" s="1"/>
  <c r="I20" i="9"/>
  <c r="D30" i="8" s="1"/>
  <c r="I40" i="9"/>
  <c r="D52" i="8" s="1"/>
  <c r="I25" i="9"/>
  <c r="D15" i="8" s="1"/>
  <c r="I23" i="9"/>
  <c r="D13" i="8" s="1"/>
  <c r="I43" i="9"/>
  <c r="D45" i="8" s="1"/>
  <c r="I28" i="9"/>
  <c r="D33" i="8" s="1"/>
  <c r="I13" i="9"/>
  <c r="D23" i="8" s="1"/>
  <c r="I11" i="9"/>
  <c r="D21" i="8" s="1"/>
  <c r="I31" i="9"/>
  <c r="D36" i="8" s="1"/>
  <c r="I16" i="9"/>
  <c r="D26" i="8" s="1"/>
  <c r="I51" i="9"/>
  <c r="I34" i="9"/>
  <c r="D39" i="8" s="1"/>
  <c r="I19" i="9"/>
  <c r="D29" i="8" s="1"/>
  <c r="I39" i="9"/>
  <c r="D51" i="8" s="1"/>
  <c r="I22" i="9"/>
  <c r="D12" i="8" s="1"/>
  <c r="I42" i="9"/>
  <c r="D44" i="8" s="1"/>
  <c r="I27" i="9"/>
  <c r="D32" i="8" s="1"/>
  <c r="F24" i="8"/>
  <c r="I24" i="8" s="1"/>
  <c r="F26" i="8"/>
  <c r="I26" i="8" s="1"/>
  <c r="F19" i="8"/>
  <c r="F37" i="8"/>
  <c r="I37" i="8" s="1"/>
  <c r="L37" i="8" s="1"/>
  <c r="N37" i="8" s="1"/>
  <c r="AF19" i="1"/>
  <c r="AF21" i="1"/>
  <c r="AF23" i="1"/>
  <c r="AF20" i="1"/>
  <c r="AF22" i="1"/>
  <c r="S51" i="1" l="1"/>
  <c r="Q51" i="1"/>
  <c r="F25" i="8"/>
  <c r="F46" i="8"/>
  <c r="L46" i="8" s="1"/>
  <c r="N46" i="8" s="1"/>
  <c r="T50" i="1"/>
  <c r="T51" i="1" s="1"/>
  <c r="F34" i="8"/>
  <c r="L34" i="8" s="1"/>
  <c r="N34" i="8" s="1"/>
  <c r="F50" i="8"/>
  <c r="L50" i="8" s="1"/>
  <c r="N50" i="8" s="1"/>
  <c r="F21" i="8"/>
  <c r="L21" i="8" s="1"/>
  <c r="N21" i="8" s="1"/>
  <c r="I12" i="8"/>
  <c r="I10" i="8" s="1"/>
  <c r="F44" i="8"/>
  <c r="L44" i="8" s="1"/>
  <c r="N44" i="8" s="1"/>
  <c r="F35" i="8"/>
  <c r="L35" i="8" s="1"/>
  <c r="N35" i="8" s="1"/>
  <c r="F47" i="8"/>
  <c r="L47" i="8" s="1"/>
  <c r="N47" i="8" s="1"/>
  <c r="F43" i="8"/>
  <c r="C48" i="8"/>
  <c r="F18" i="8"/>
  <c r="L18" i="8" s="1"/>
  <c r="N18" i="8" s="1"/>
  <c r="F39" i="8"/>
  <c r="L39" i="8" s="1"/>
  <c r="N39" i="8" s="1"/>
  <c r="H51" i="9"/>
  <c r="C31" i="8"/>
  <c r="F20" i="8"/>
  <c r="L20" i="8" s="1"/>
  <c r="N20" i="8" s="1"/>
  <c r="F52" i="8"/>
  <c r="L52" i="8" s="1"/>
  <c r="N52" i="8" s="1"/>
  <c r="C42" i="8"/>
  <c r="F23" i="8"/>
  <c r="L23" i="8" s="1"/>
  <c r="N23" i="8" s="1"/>
  <c r="F51" i="8"/>
  <c r="I51" i="8" s="1"/>
  <c r="I48" i="8" s="1"/>
  <c r="C17" i="8"/>
  <c r="F13" i="8"/>
  <c r="L13" i="8" s="1"/>
  <c r="N13" i="8" s="1"/>
  <c r="C10" i="8"/>
  <c r="F45" i="8"/>
  <c r="L45" i="8" s="1"/>
  <c r="N45" i="8" s="1"/>
  <c r="H46" i="9"/>
  <c r="F22" i="8"/>
  <c r="L22" i="8" s="1"/>
  <c r="N22" i="8" s="1"/>
  <c r="F33" i="8"/>
  <c r="L33" i="8" s="1"/>
  <c r="N33" i="8" s="1"/>
  <c r="F32" i="8"/>
  <c r="L32" i="8" s="1"/>
  <c r="N32" i="8" s="1"/>
  <c r="F8" i="13"/>
  <c r="D7" i="13"/>
  <c r="E8" i="13"/>
  <c r="I56" i="9"/>
  <c r="I31" i="8"/>
  <c r="L27" i="8"/>
  <c r="N27" i="8" s="1"/>
  <c r="L26" i="8"/>
  <c r="N26" i="8" s="1"/>
  <c r="I30" i="8"/>
  <c r="L30" i="8" s="1"/>
  <c r="N30" i="8" s="1"/>
  <c r="L36" i="8"/>
  <c r="N36" i="8" s="1"/>
  <c r="I28" i="8"/>
  <c r="L29" i="8"/>
  <c r="N29" i="8" s="1"/>
  <c r="L19" i="8"/>
  <c r="N19" i="8" s="1"/>
  <c r="L41" i="8"/>
  <c r="N41" i="8" s="1"/>
  <c r="G26" i="8"/>
  <c r="G27" i="8"/>
  <c r="J27" i="8" s="1"/>
  <c r="M27" i="8" s="1"/>
  <c r="G36" i="8"/>
  <c r="J36" i="8" s="1"/>
  <c r="G22" i="8"/>
  <c r="J22" i="8" s="1"/>
  <c r="G44" i="8"/>
  <c r="J44" i="8" s="1"/>
  <c r="L38" i="8"/>
  <c r="N38" i="8" s="1"/>
  <c r="L15" i="8"/>
  <c r="N15" i="8" s="1"/>
  <c r="G38" i="8"/>
  <c r="J38" i="8" s="1"/>
  <c r="M38" i="8" s="1"/>
  <c r="G14" i="8"/>
  <c r="J14" i="8" s="1"/>
  <c r="M14" i="8" s="1"/>
  <c r="G21" i="8"/>
  <c r="J21" i="8" s="1"/>
  <c r="G18" i="8"/>
  <c r="G39" i="8"/>
  <c r="J39" i="8" s="1"/>
  <c r="L25" i="8"/>
  <c r="N25" i="8" s="1"/>
  <c r="L11" i="8"/>
  <c r="N11" i="8" s="1"/>
  <c r="G45" i="8"/>
  <c r="J45" i="8" s="1"/>
  <c r="M45" i="8" s="1"/>
  <c r="G47" i="8"/>
  <c r="J47" i="8" s="1"/>
  <c r="G46" i="8"/>
  <c r="J46" i="8" s="1"/>
  <c r="G32" i="8"/>
  <c r="J32" i="8" s="1"/>
  <c r="G28" i="8"/>
  <c r="J28" i="8" s="1"/>
  <c r="G35" i="8"/>
  <c r="J35" i="8" s="1"/>
  <c r="G20" i="8"/>
  <c r="J20" i="8" s="1"/>
  <c r="G51" i="8"/>
  <c r="J51" i="8" s="1"/>
  <c r="G49" i="8"/>
  <c r="J49" i="8" s="1"/>
  <c r="G12" i="8"/>
  <c r="J12" i="8" s="1"/>
  <c r="G40" i="8"/>
  <c r="J40" i="8" s="1"/>
  <c r="G33" i="8"/>
  <c r="J33" i="8" s="1"/>
  <c r="G52" i="8"/>
  <c r="J52" i="8" s="1"/>
  <c r="G23" i="8"/>
  <c r="J23" i="8" s="1"/>
  <c r="G25" i="8"/>
  <c r="J25" i="8" s="1"/>
  <c r="M25" i="8" s="1"/>
  <c r="L14" i="8"/>
  <c r="N14" i="8" s="1"/>
  <c r="G34" i="8"/>
  <c r="J34" i="8" s="1"/>
  <c r="G19" i="8"/>
  <c r="J19" i="8" s="1"/>
  <c r="G50" i="8"/>
  <c r="G13" i="8"/>
  <c r="G15" i="8"/>
  <c r="J15" i="8" s="1"/>
  <c r="G29" i="8"/>
  <c r="J29" i="8" s="1"/>
  <c r="G30" i="8"/>
  <c r="J30" i="8" s="1"/>
  <c r="L16" i="8"/>
  <c r="N16" i="8" s="1"/>
  <c r="G41" i="8"/>
  <c r="J41" i="8" s="1"/>
  <c r="G37" i="8"/>
  <c r="J37" i="8" s="1"/>
  <c r="G16" i="8"/>
  <c r="J16" i="8" s="1"/>
  <c r="G24" i="8"/>
  <c r="J24" i="8" s="1"/>
  <c r="G43" i="8"/>
  <c r="J43" i="8" s="1"/>
  <c r="L12" i="8"/>
  <c r="N12" i="8" s="1"/>
  <c r="L24" i="8"/>
  <c r="N24" i="8" s="1"/>
  <c r="D10" i="8"/>
  <c r="D42" i="8"/>
  <c r="D17" i="8"/>
  <c r="E6" i="6"/>
  <c r="F6" i="6" s="1"/>
  <c r="E7" i="6"/>
  <c r="F7" i="6" s="1"/>
  <c r="E5" i="6"/>
  <c r="F5" i="6" s="1"/>
  <c r="E8" i="6"/>
  <c r="F8" i="6" s="1"/>
  <c r="I46" i="9"/>
  <c r="C10" i="6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C7" i="11"/>
  <c r="K14" i="1"/>
  <c r="L51" i="8" l="1"/>
  <c r="N51" i="8" s="1"/>
  <c r="C53" i="8"/>
  <c r="C74" i="8" s="1"/>
  <c r="C7" i="13"/>
  <c r="M16" i="8"/>
  <c r="M28" i="8"/>
  <c r="M41" i="8"/>
  <c r="I17" i="8"/>
  <c r="J31" i="8"/>
  <c r="M49" i="8"/>
  <c r="M47" i="8"/>
  <c r="L28" i="8"/>
  <c r="N28" i="8" s="1"/>
  <c r="J13" i="8"/>
  <c r="M13" i="8" s="1"/>
  <c r="M44" i="8"/>
  <c r="M23" i="8"/>
  <c r="M19" i="8"/>
  <c r="M15" i="8"/>
  <c r="M34" i="8"/>
  <c r="M33" i="8"/>
  <c r="M12" i="8"/>
  <c r="M43" i="8"/>
  <c r="M24" i="8"/>
  <c r="M36" i="8"/>
  <c r="M40" i="8"/>
  <c r="M51" i="8"/>
  <c r="M32" i="8"/>
  <c r="M21" i="8"/>
  <c r="J50" i="8"/>
  <c r="M50" i="8" s="1"/>
  <c r="M52" i="8"/>
  <c r="M20" i="8"/>
  <c r="M46" i="8"/>
  <c r="J26" i="8"/>
  <c r="M26" i="8" s="1"/>
  <c r="M30" i="8"/>
  <c r="M39" i="8"/>
  <c r="M29" i="8"/>
  <c r="M37" i="8"/>
  <c r="M35" i="8"/>
  <c r="M22" i="8"/>
  <c r="E9" i="6"/>
  <c r="F9" i="6" s="1"/>
  <c r="F10" i="6" s="1"/>
  <c r="C8" i="6"/>
  <c r="D8" i="6" s="1"/>
  <c r="G8" i="6" s="1"/>
  <c r="C7" i="6"/>
  <c r="D7" i="6" s="1"/>
  <c r="G7" i="6" s="1"/>
  <c r="C5" i="6"/>
  <c r="D5" i="6" s="1"/>
  <c r="C6" i="6"/>
  <c r="D6" i="6" s="1"/>
  <c r="G6" i="6" s="1"/>
  <c r="J48" i="8" l="1"/>
  <c r="G14" i="6"/>
  <c r="G15" i="6"/>
  <c r="I15" i="6"/>
  <c r="J15" i="6" s="1"/>
  <c r="I14" i="6"/>
  <c r="G5" i="6"/>
  <c r="C9" i="6"/>
  <c r="D9" i="6" s="1"/>
  <c r="G9" i="6" s="1"/>
  <c r="H15" i="6" l="1"/>
  <c r="E67" i="7"/>
  <c r="E72" i="7"/>
  <c r="H72" i="7" s="1"/>
  <c r="E71" i="7"/>
  <c r="H71" i="7" s="1"/>
  <c r="E69" i="7"/>
  <c r="H69" i="7" s="1"/>
  <c r="E70" i="7"/>
  <c r="H70" i="7" s="1"/>
  <c r="H14" i="6"/>
  <c r="I16" i="6"/>
  <c r="J16" i="6" s="1"/>
  <c r="J14" i="6"/>
  <c r="G10" i="6"/>
  <c r="D10" i="6"/>
  <c r="I17" i="6" l="1"/>
  <c r="E68" i="7"/>
  <c r="H68" i="7" s="1"/>
  <c r="H67" i="7"/>
  <c r="J17" i="6"/>
  <c r="E73" i="7" l="1"/>
  <c r="H73" i="7"/>
  <c r="H56" i="9" l="1"/>
  <c r="L43" i="8" l="1"/>
  <c r="N43" i="8" s="1"/>
  <c r="L10" i="8"/>
  <c r="N10" i="8" s="1"/>
  <c r="F10" i="8"/>
  <c r="F31" i="8"/>
  <c r="F81" i="8"/>
  <c r="I42" i="8"/>
  <c r="F42" i="8"/>
  <c r="L42" i="8" l="1"/>
  <c r="N42" i="8" s="1"/>
  <c r="L75" i="8" l="1"/>
  <c r="I81" i="8"/>
  <c r="L81" i="8"/>
  <c r="L31" i="8"/>
  <c r="N31" i="8" s="1"/>
  <c r="G11" i="8"/>
  <c r="G42" i="8" l="1"/>
  <c r="J11" i="8"/>
  <c r="G10" i="8"/>
  <c r="J42" i="8"/>
  <c r="M11" i="8" l="1"/>
  <c r="M10" i="8" s="1"/>
  <c r="J10" i="8"/>
  <c r="M42" i="8"/>
  <c r="F17" i="8" l="1"/>
  <c r="F48" i="8"/>
  <c r="L17" i="8" l="1"/>
  <c r="N17" i="8" s="1"/>
  <c r="F53" i="8"/>
  <c r="L49" i="8" l="1"/>
  <c r="N49" i="8" s="1"/>
  <c r="L48" i="8"/>
  <c r="I53" i="8"/>
  <c r="J18" i="8"/>
  <c r="G17" i="8"/>
  <c r="D31" i="8"/>
  <c r="L53" i="8" l="1"/>
  <c r="N53" i="8" s="1"/>
  <c r="N48" i="8"/>
  <c r="M18" i="8"/>
  <c r="M17" i="8" s="1"/>
  <c r="J17" i="8"/>
  <c r="G31" i="8"/>
  <c r="D48" i="8"/>
  <c r="D53" i="8" l="1"/>
  <c r="D74" i="8" s="1"/>
  <c r="M31" i="8"/>
  <c r="G48" i="8"/>
  <c r="D82" i="8"/>
  <c r="M48" i="8" l="1"/>
  <c r="M53" i="8" s="1"/>
  <c r="J53" i="8"/>
  <c r="G53" i="8"/>
  <c r="G81" i="8" l="1"/>
  <c r="J81" i="8"/>
  <c r="M81" i="8" l="1"/>
  <c r="AE40" i="1"/>
  <c r="AD40" i="1" s="1"/>
  <c r="K40" i="1"/>
  <c r="AE56" i="1" l="1"/>
  <c r="F10" i="5" s="1"/>
  <c r="F10" i="11" s="1"/>
  <c r="Z40" i="1"/>
  <c r="P40" i="1"/>
  <c r="D10" i="11"/>
  <c r="Y40" i="1" l="1"/>
  <c r="Y50" i="1" s="1"/>
  <c r="Z50" i="1"/>
  <c r="O40" i="1"/>
  <c r="O50" i="1" s="1"/>
  <c r="P50" i="1"/>
  <c r="AE58" i="1"/>
  <c r="F12" i="5"/>
  <c r="F23" i="5" s="1"/>
  <c r="F24" i="5" s="1"/>
  <c r="F12" i="11"/>
  <c r="F15" i="11" s="1"/>
  <c r="F17" i="13" s="1"/>
  <c r="F10" i="13"/>
  <c r="F12" i="13" s="1"/>
  <c r="F15" i="13" s="1"/>
  <c r="P56" i="1"/>
  <c r="C10" i="5" s="1"/>
  <c r="C10" i="11" s="1"/>
  <c r="Z56" i="1"/>
  <c r="E10" i="5" s="1"/>
  <c r="E10" i="11" s="1"/>
  <c r="D10" i="13"/>
  <c r="D12" i="13" s="1"/>
  <c r="D12" i="11"/>
  <c r="D15" i="11" s="1"/>
  <c r="D17" i="13" s="1"/>
  <c r="U58" i="1"/>
  <c r="Y51" i="1" l="1"/>
  <c r="W51" i="1"/>
  <c r="X51" i="1"/>
  <c r="V51" i="1"/>
  <c r="L51" i="1"/>
  <c r="N51" i="1"/>
  <c r="M51" i="1"/>
  <c r="O51" i="1"/>
  <c r="F15" i="5"/>
  <c r="F17" i="11" s="1"/>
  <c r="F20" i="11" s="1"/>
  <c r="F23" i="11" s="1"/>
  <c r="F20" i="13"/>
  <c r="F23" i="13" s="1"/>
  <c r="Z58" i="1"/>
  <c r="P58" i="1"/>
  <c r="U59" i="1" s="1"/>
  <c r="C10" i="13"/>
  <c r="C12" i="13" s="1"/>
  <c r="C15" i="13" s="1"/>
  <c r="C12" i="11"/>
  <c r="C15" i="11" s="1"/>
  <c r="C17" i="13" s="1"/>
  <c r="E10" i="13"/>
  <c r="E12" i="13" s="1"/>
  <c r="E15" i="13" s="1"/>
  <c r="E12" i="11"/>
  <c r="E15" i="11" s="1"/>
  <c r="D15" i="13"/>
  <c r="D20" i="13" s="1"/>
  <c r="D23" i="13" s="1"/>
  <c r="F27" i="5"/>
  <c r="F30" i="5" s="1"/>
  <c r="E12" i="5"/>
  <c r="D12" i="5"/>
  <c r="C12" i="5"/>
  <c r="C23" i="5" s="1"/>
  <c r="F51" i="5" l="1"/>
  <c r="F49" i="5"/>
  <c r="F47" i="5"/>
  <c r="F53" i="5" s="1"/>
  <c r="F25" i="13"/>
  <c r="F42" i="13"/>
  <c r="F43" i="13" s="1"/>
  <c r="F40" i="13"/>
  <c r="F44" i="13"/>
  <c r="F45" i="13" s="1"/>
  <c r="D44" i="13"/>
  <c r="D45" i="13" s="1"/>
  <c r="F42" i="11"/>
  <c r="F43" i="11" s="1"/>
  <c r="F40" i="11"/>
  <c r="F41" i="11" s="1"/>
  <c r="F44" i="11"/>
  <c r="F45" i="11" s="1"/>
  <c r="Z59" i="1"/>
  <c r="F33" i="11"/>
  <c r="F34" i="11" s="1"/>
  <c r="F29" i="11"/>
  <c r="F30" i="11" s="1"/>
  <c r="F31" i="11"/>
  <c r="F32" i="11" s="1"/>
  <c r="F25" i="11"/>
  <c r="F33" i="13"/>
  <c r="F34" i="13" s="1"/>
  <c r="C20" i="13"/>
  <c r="C23" i="13" s="1"/>
  <c r="F31" i="13"/>
  <c r="F32" i="13" s="1"/>
  <c r="F29" i="13"/>
  <c r="F30" i="13" s="1"/>
  <c r="AE59" i="1"/>
  <c r="D25" i="13"/>
  <c r="D31" i="13"/>
  <c r="D32" i="13" s="1"/>
  <c r="D29" i="13"/>
  <c r="D30" i="13" s="1"/>
  <c r="D33" i="13"/>
  <c r="D34" i="13" s="1"/>
  <c r="F52" i="5"/>
  <c r="F48" i="5"/>
  <c r="F50" i="5"/>
  <c r="E17" i="13"/>
  <c r="E20" i="13" s="1"/>
  <c r="E23" i="13" s="1"/>
  <c r="E40" i="13" s="1"/>
  <c r="E41" i="13" s="1"/>
  <c r="C24" i="5"/>
  <c r="D23" i="5"/>
  <c r="D24" i="5" s="1"/>
  <c r="E23" i="5"/>
  <c r="E24" i="5" s="1"/>
  <c r="C15" i="5"/>
  <c r="C17" i="11" s="1"/>
  <c r="C20" i="11" s="1"/>
  <c r="C23" i="11" s="1"/>
  <c r="C44" i="11" s="1"/>
  <c r="C45" i="11" s="1"/>
  <c r="E15" i="5"/>
  <c r="E17" i="11" s="1"/>
  <c r="E20" i="11" s="1"/>
  <c r="E23" i="11" s="1"/>
  <c r="E40" i="11" s="1"/>
  <c r="E41" i="11" s="1"/>
  <c r="D15" i="5"/>
  <c r="D17" i="11" s="1"/>
  <c r="D20" i="11" s="1"/>
  <c r="D23" i="11" s="1"/>
  <c r="E44" i="13" l="1"/>
  <c r="E45" i="13" s="1"/>
  <c r="C42" i="11"/>
  <c r="C43" i="11" s="1"/>
  <c r="C25" i="13"/>
  <c r="E42" i="11"/>
  <c r="E43" i="11" s="1"/>
  <c r="F46" i="11"/>
  <c r="F47" i="11" s="1"/>
  <c r="C42" i="13"/>
  <c r="C43" i="13" s="1"/>
  <c r="C40" i="11"/>
  <c r="C41" i="11" s="1"/>
  <c r="D46" i="13"/>
  <c r="D47" i="13" s="1"/>
  <c r="C40" i="13"/>
  <c r="C41" i="13" s="1"/>
  <c r="D44" i="11"/>
  <c r="D45" i="11" s="1"/>
  <c r="F46" i="13"/>
  <c r="F47" i="13" s="1"/>
  <c r="F41" i="13"/>
  <c r="E44" i="11"/>
  <c r="E45" i="11" s="1"/>
  <c r="E42" i="13"/>
  <c r="E43" i="13" s="1"/>
  <c r="C44" i="13"/>
  <c r="C45" i="13" s="1"/>
  <c r="F35" i="11"/>
  <c r="F36" i="11" s="1"/>
  <c r="C33" i="13"/>
  <c r="C34" i="13" s="1"/>
  <c r="C29" i="13"/>
  <c r="C30" i="13" s="1"/>
  <c r="C31" i="13"/>
  <c r="C32" i="13" s="1"/>
  <c r="F35" i="13"/>
  <c r="F36" i="13" s="1"/>
  <c r="D35" i="13"/>
  <c r="D36" i="13" s="1"/>
  <c r="E25" i="11"/>
  <c r="E29" i="11"/>
  <c r="E30" i="11" s="1"/>
  <c r="E33" i="11"/>
  <c r="E34" i="11" s="1"/>
  <c r="E31" i="11"/>
  <c r="E32" i="11" s="1"/>
  <c r="E25" i="13"/>
  <c r="E31" i="13"/>
  <c r="E32" i="13" s="1"/>
  <c r="E29" i="13"/>
  <c r="E30" i="13" s="1"/>
  <c r="E33" i="13"/>
  <c r="E34" i="13" s="1"/>
  <c r="D25" i="11"/>
  <c r="D31" i="11"/>
  <c r="D32" i="11" s="1"/>
  <c r="D29" i="11"/>
  <c r="D30" i="11" s="1"/>
  <c r="D33" i="11"/>
  <c r="D34" i="11" s="1"/>
  <c r="C33" i="11"/>
  <c r="C34" i="11" s="1"/>
  <c r="C25" i="11"/>
  <c r="C29" i="11"/>
  <c r="C30" i="11" s="1"/>
  <c r="C31" i="11"/>
  <c r="C32" i="11" s="1"/>
  <c r="D27" i="5"/>
  <c r="D30" i="5" s="1"/>
  <c r="C27" i="5"/>
  <c r="C30" i="5" s="1"/>
  <c r="E27" i="5"/>
  <c r="E30" i="5" s="1"/>
  <c r="F38" i="5"/>
  <c r="F39" i="5" s="1"/>
  <c r="F36" i="5"/>
  <c r="F32" i="5"/>
  <c r="F40" i="5"/>
  <c r="F41" i="5" s="1"/>
  <c r="F54" i="5" s="1"/>
  <c r="E14" i="6"/>
  <c r="G16" i="6"/>
  <c r="E46" i="13" l="1"/>
  <c r="E47" i="13" s="1"/>
  <c r="E46" i="11"/>
  <c r="E47" i="11" s="1"/>
  <c r="C46" i="11"/>
  <c r="C47" i="11" s="1"/>
  <c r="D46" i="11"/>
  <c r="D47" i="11" s="1"/>
  <c r="C46" i="13"/>
  <c r="C47" i="13" s="1"/>
  <c r="E51" i="5"/>
  <c r="E52" i="5" s="1"/>
  <c r="E47" i="5"/>
  <c r="E49" i="5"/>
  <c r="E50" i="5" s="1"/>
  <c r="C51" i="5"/>
  <c r="C47" i="5"/>
  <c r="C49" i="5"/>
  <c r="C50" i="5" s="1"/>
  <c r="D51" i="5"/>
  <c r="D52" i="5" s="1"/>
  <c r="E48" i="5"/>
  <c r="C35" i="13"/>
  <c r="C36" i="13" s="1"/>
  <c r="E35" i="13"/>
  <c r="E36" i="13" s="1"/>
  <c r="D35" i="11"/>
  <c r="D36" i="11" s="1"/>
  <c r="D48" i="5"/>
  <c r="D50" i="5"/>
  <c r="E35" i="11"/>
  <c r="E36" i="11" s="1"/>
  <c r="C52" i="5"/>
  <c r="C35" i="11"/>
  <c r="C36" i="11" s="1"/>
  <c r="F37" i="5"/>
  <c r="F42" i="5"/>
  <c r="F43" i="5" s="1"/>
  <c r="E16" i="6"/>
  <c r="C32" i="5"/>
  <c r="C36" i="5"/>
  <c r="C37" i="5" s="1"/>
  <c r="C38" i="5"/>
  <c r="C39" i="5" s="1"/>
  <c r="C40" i="5"/>
  <c r="C41" i="5" s="1"/>
  <c r="E61" i="7"/>
  <c r="H61" i="7" s="1"/>
  <c r="E63" i="7"/>
  <c r="H63" i="7" s="1"/>
  <c r="E62" i="7"/>
  <c r="H62" i="7" s="1"/>
  <c r="E49" i="7"/>
  <c r="H49" i="7" s="1"/>
  <c r="E53" i="7"/>
  <c r="H53" i="7" s="1"/>
  <c r="H16" i="6"/>
  <c r="H17" i="6" s="1"/>
  <c r="E55" i="7"/>
  <c r="H55" i="7" s="1"/>
  <c r="E64" i="7"/>
  <c r="H64" i="7" s="1"/>
  <c r="E59" i="7"/>
  <c r="H59" i="7" s="1"/>
  <c r="E50" i="7"/>
  <c r="H50" i="7" s="1"/>
  <c r="E56" i="7"/>
  <c r="H56" i="7" s="1"/>
  <c r="E46" i="7"/>
  <c r="G17" i="6"/>
  <c r="E52" i="7"/>
  <c r="H52" i="7" s="1"/>
  <c r="E65" i="7"/>
  <c r="H65" i="7" s="1"/>
  <c r="E54" i="7"/>
  <c r="H54" i="7" s="1"/>
  <c r="E58" i="7"/>
  <c r="H58" i="7" s="1"/>
  <c r="E48" i="7"/>
  <c r="H48" i="7" s="1"/>
  <c r="E47" i="7"/>
  <c r="H47" i="7" s="1"/>
  <c r="E57" i="7"/>
  <c r="H57" i="7" s="1"/>
  <c r="E51" i="7"/>
  <c r="H51" i="7" s="1"/>
  <c r="E15" i="6"/>
  <c r="F14" i="6"/>
  <c r="E53" i="5" l="1"/>
  <c r="D53" i="5"/>
  <c r="C53" i="5"/>
  <c r="C54" i="5" s="1"/>
  <c r="C48" i="5"/>
  <c r="D32" i="5"/>
  <c r="D40" i="5"/>
  <c r="D41" i="5" s="1"/>
  <c r="D54" i="5" s="1"/>
  <c r="D36" i="5"/>
  <c r="D38" i="5"/>
  <c r="D39" i="5" s="1"/>
  <c r="E32" i="5"/>
  <c r="E40" i="5"/>
  <c r="E41" i="5" s="1"/>
  <c r="E38" i="5"/>
  <c r="E39" i="5" s="1"/>
  <c r="E36" i="5"/>
  <c r="C16" i="6"/>
  <c r="C42" i="5"/>
  <c r="C43" i="5" s="1"/>
  <c r="E17" i="6"/>
  <c r="D47" i="7"/>
  <c r="F16" i="6"/>
  <c r="D61" i="7"/>
  <c r="D62" i="7"/>
  <c r="D58" i="7"/>
  <c r="D64" i="7"/>
  <c r="D51" i="7"/>
  <c r="D54" i="7"/>
  <c r="D52" i="7"/>
  <c r="D46" i="7"/>
  <c r="D63" i="7"/>
  <c r="D56" i="7"/>
  <c r="D49" i="7"/>
  <c r="D60" i="7"/>
  <c r="G60" i="7" s="1"/>
  <c r="D59" i="7"/>
  <c r="D57" i="7"/>
  <c r="D55" i="7"/>
  <c r="D53" i="7"/>
  <c r="D48" i="7"/>
  <c r="D65" i="7"/>
  <c r="D67" i="7"/>
  <c r="D68" i="7"/>
  <c r="G68" i="7" s="1"/>
  <c r="D71" i="7"/>
  <c r="G71" i="7" s="1"/>
  <c r="D72" i="7"/>
  <c r="G72" i="7" s="1"/>
  <c r="D70" i="7"/>
  <c r="G70" i="7" s="1"/>
  <c r="F15" i="6"/>
  <c r="C15" i="6"/>
  <c r="E60" i="7"/>
  <c r="H60" i="7" s="1"/>
  <c r="C14" i="6"/>
  <c r="H46" i="7"/>
  <c r="E54" i="5" l="1"/>
  <c r="F17" i="6"/>
  <c r="E37" i="5"/>
  <c r="E42" i="5"/>
  <c r="E43" i="5" s="1"/>
  <c r="D37" i="5"/>
  <c r="D42" i="5"/>
  <c r="D43" i="5" s="1"/>
  <c r="D50" i="7"/>
  <c r="G50" i="7" s="1"/>
  <c r="D69" i="7"/>
  <c r="G69" i="7" s="1"/>
  <c r="D14" i="6"/>
  <c r="C17" i="6"/>
  <c r="G64" i="7"/>
  <c r="G65" i="7"/>
  <c r="G49" i="7"/>
  <c r="G58" i="7"/>
  <c r="G56" i="7"/>
  <c r="G62" i="7"/>
  <c r="G67" i="7"/>
  <c r="C72" i="7"/>
  <c r="F72" i="7" s="1"/>
  <c r="I72" i="7" s="1"/>
  <c r="C67" i="7"/>
  <c r="C69" i="7"/>
  <c r="F69" i="7" s="1"/>
  <c r="C70" i="7"/>
  <c r="F70" i="7" s="1"/>
  <c r="I70" i="7" s="1"/>
  <c r="D15" i="6"/>
  <c r="K15" i="6" s="1"/>
  <c r="C71" i="7"/>
  <c r="F71" i="7" s="1"/>
  <c r="I71" i="7" s="1"/>
  <c r="G63" i="7"/>
  <c r="G61" i="7"/>
  <c r="G57" i="7"/>
  <c r="G51" i="7"/>
  <c r="C51" i="7"/>
  <c r="C54" i="7"/>
  <c r="C61" i="7"/>
  <c r="C56" i="7"/>
  <c r="C49" i="7"/>
  <c r="D16" i="6"/>
  <c r="K16" i="6" s="1"/>
  <c r="C59" i="7"/>
  <c r="C57" i="7"/>
  <c r="C55" i="7"/>
  <c r="C53" i="7"/>
  <c r="C48" i="7"/>
  <c r="C50" i="7"/>
  <c r="C52" i="7"/>
  <c r="C58" i="7"/>
  <c r="C47" i="7"/>
  <c r="C46" i="7"/>
  <c r="C64" i="7"/>
  <c r="C65" i="7"/>
  <c r="C63" i="7"/>
  <c r="C62" i="7"/>
  <c r="E66" i="7"/>
  <c r="E74" i="7" s="1"/>
  <c r="G54" i="7"/>
  <c r="G59" i="7"/>
  <c r="H66" i="7"/>
  <c r="H74" i="7" s="1"/>
  <c r="G48" i="7"/>
  <c r="G53" i="7"/>
  <c r="G46" i="7"/>
  <c r="G55" i="7"/>
  <c r="G52" i="7"/>
  <c r="G47" i="7"/>
  <c r="I69" i="7" l="1"/>
  <c r="D73" i="7"/>
  <c r="G73" i="7"/>
  <c r="C68" i="7"/>
  <c r="F68" i="7" s="1"/>
  <c r="I68" i="7" s="1"/>
  <c r="D66" i="7"/>
  <c r="F55" i="7"/>
  <c r="I55" i="7" s="1"/>
  <c r="F52" i="7"/>
  <c r="I52" i="7" s="1"/>
  <c r="F49" i="7"/>
  <c r="I49" i="7" s="1"/>
  <c r="F51" i="7"/>
  <c r="I51" i="7" s="1"/>
  <c r="F58" i="7"/>
  <c r="I58" i="7" s="1"/>
  <c r="F62" i="7"/>
  <c r="I62" i="7" s="1"/>
  <c r="F63" i="7"/>
  <c r="I63" i="7" s="1"/>
  <c r="F48" i="7"/>
  <c r="I48" i="7" s="1"/>
  <c r="F56" i="7"/>
  <c r="I56" i="7" s="1"/>
  <c r="F46" i="7"/>
  <c r="F57" i="7"/>
  <c r="I57" i="7" s="1"/>
  <c r="D17" i="6"/>
  <c r="K14" i="6"/>
  <c r="K17" i="6" s="1"/>
  <c r="F50" i="7"/>
  <c r="I50" i="7" s="1"/>
  <c r="F65" i="7"/>
  <c r="I65" i="7" s="1"/>
  <c r="F53" i="7"/>
  <c r="I53" i="7" s="1"/>
  <c r="F61" i="7"/>
  <c r="I61" i="7" s="1"/>
  <c r="F67" i="7"/>
  <c r="F47" i="7"/>
  <c r="I47" i="7" s="1"/>
  <c r="F59" i="7"/>
  <c r="I59" i="7" s="1"/>
  <c r="G66" i="7"/>
  <c r="F64" i="7"/>
  <c r="I64" i="7" s="1"/>
  <c r="C60" i="7"/>
  <c r="F60" i="7" s="1"/>
  <c r="I60" i="7" s="1"/>
  <c r="F54" i="7"/>
  <c r="I54" i="7" s="1"/>
  <c r="G74" i="7" l="1"/>
  <c r="D74" i="7"/>
  <c r="D64" i="8" s="1"/>
  <c r="C73" i="7"/>
  <c r="I46" i="7"/>
  <c r="I66" i="7" s="1"/>
  <c r="F66" i="7"/>
  <c r="F73" i="7"/>
  <c r="I67" i="7"/>
  <c r="I73" i="7" s="1"/>
  <c r="C66" i="7"/>
  <c r="D71" i="8" l="1"/>
  <c r="G71" i="8" s="1"/>
  <c r="D73" i="8"/>
  <c r="G73" i="8" s="1"/>
  <c r="J73" i="8" s="1"/>
  <c r="M73" i="8" s="1"/>
  <c r="D55" i="8"/>
  <c r="G55" i="8" s="1"/>
  <c r="D57" i="8"/>
  <c r="G57" i="8" s="1"/>
  <c r="D66" i="8"/>
  <c r="G66" i="8" s="1"/>
  <c r="J66" i="8" s="1"/>
  <c r="D59" i="8"/>
  <c r="G59" i="8" s="1"/>
  <c r="J59" i="8" s="1"/>
  <c r="D58" i="8"/>
  <c r="G58" i="8" s="1"/>
  <c r="J58" i="8" s="1"/>
  <c r="M58" i="8" s="1"/>
  <c r="D65" i="8"/>
  <c r="G65" i="8" s="1"/>
  <c r="J65" i="8" s="1"/>
  <c r="D54" i="8"/>
  <c r="G54" i="8" s="1"/>
  <c r="J54" i="8" s="1"/>
  <c r="D61" i="8"/>
  <c r="G61" i="8" s="1"/>
  <c r="D69" i="8"/>
  <c r="G69" i="8" s="1"/>
  <c r="J69" i="8" s="1"/>
  <c r="D56" i="8"/>
  <c r="D72" i="8"/>
  <c r="G72" i="8" s="1"/>
  <c r="D70" i="8"/>
  <c r="G70" i="8" s="1"/>
  <c r="J70" i="8" s="1"/>
  <c r="D67" i="8"/>
  <c r="G67" i="8" s="1"/>
  <c r="J67" i="8" s="1"/>
  <c r="M67" i="8" s="1"/>
  <c r="D62" i="8"/>
  <c r="G62" i="8" s="1"/>
  <c r="C74" i="7"/>
  <c r="C56" i="8" s="1"/>
  <c r="I56" i="8" s="1"/>
  <c r="D60" i="8"/>
  <c r="G60" i="8" s="1"/>
  <c r="D63" i="8"/>
  <c r="G63" i="8" s="1"/>
  <c r="I74" i="7"/>
  <c r="F74" i="7"/>
  <c r="G64" i="8"/>
  <c r="C58" i="8" l="1"/>
  <c r="I58" i="8" s="1"/>
  <c r="D68" i="8"/>
  <c r="G68" i="8" s="1"/>
  <c r="C66" i="8"/>
  <c r="F66" i="8" s="1"/>
  <c r="I66" i="8" s="1"/>
  <c r="C62" i="8"/>
  <c r="I62" i="8" s="1"/>
  <c r="G56" i="8"/>
  <c r="J56" i="8" s="1"/>
  <c r="C55" i="8"/>
  <c r="I55" i="8" s="1"/>
  <c r="C61" i="8"/>
  <c r="I61" i="8" s="1"/>
  <c r="C65" i="8"/>
  <c r="I65" i="8" s="1"/>
  <c r="C64" i="8"/>
  <c r="F64" i="8" s="1"/>
  <c r="C63" i="8"/>
  <c r="I63" i="8" s="1"/>
  <c r="C71" i="8"/>
  <c r="I71" i="8" s="1"/>
  <c r="C67" i="8"/>
  <c r="I67" i="8" s="1"/>
  <c r="C54" i="8"/>
  <c r="I54" i="8" s="1"/>
  <c r="C59" i="8"/>
  <c r="I59" i="8" s="1"/>
  <c r="C57" i="8"/>
  <c r="I57" i="8" s="1"/>
  <c r="C72" i="8"/>
  <c r="I72" i="8" s="1"/>
  <c r="C73" i="8"/>
  <c r="F73" i="8" s="1"/>
  <c r="C60" i="8"/>
  <c r="I60" i="8" s="1"/>
  <c r="C70" i="8"/>
  <c r="I70" i="8" s="1"/>
  <c r="C69" i="8"/>
  <c r="I69" i="8" s="1"/>
  <c r="C6" i="7"/>
  <c r="J60" i="8"/>
  <c r="M60" i="8" s="1"/>
  <c r="M54" i="8"/>
  <c r="M65" i="8"/>
  <c r="M59" i="8"/>
  <c r="J63" i="8"/>
  <c r="M63" i="8" s="1"/>
  <c r="J61" i="8"/>
  <c r="M61" i="8" s="1"/>
  <c r="M66" i="8"/>
  <c r="M70" i="8"/>
  <c r="J62" i="8"/>
  <c r="M62" i="8" s="1"/>
  <c r="J57" i="8"/>
  <c r="M57" i="8" s="1"/>
  <c r="J71" i="8"/>
  <c r="M71" i="8" s="1"/>
  <c r="J55" i="8"/>
  <c r="M55" i="8" s="1"/>
  <c r="J64" i="8"/>
  <c r="M64" i="8" s="1"/>
  <c r="C82" i="8"/>
  <c r="M69" i="8"/>
  <c r="F56" i="8"/>
  <c r="L56" i="8" s="1"/>
  <c r="J72" i="8"/>
  <c r="M72" i="8" s="1"/>
  <c r="F72" i="8" l="1"/>
  <c r="L72" i="8" s="1"/>
  <c r="F62" i="8"/>
  <c r="L62" i="8" s="1"/>
  <c r="F54" i="8"/>
  <c r="G74" i="8"/>
  <c r="G82" i="8" s="1"/>
  <c r="F59" i="8"/>
  <c r="L59" i="8" s="1"/>
  <c r="F58" i="8"/>
  <c r="L58" i="8" s="1"/>
  <c r="C68" i="8"/>
  <c r="I68" i="8" s="1"/>
  <c r="F70" i="8"/>
  <c r="L70" i="8" s="1"/>
  <c r="F55" i="8"/>
  <c r="L55" i="8" s="1"/>
  <c r="F61" i="8"/>
  <c r="L61" i="8" s="1"/>
  <c r="F57" i="8"/>
  <c r="L57" i="8" s="1"/>
  <c r="F65" i="8"/>
  <c r="L65" i="8" s="1"/>
  <c r="F69" i="8"/>
  <c r="L69" i="8" s="1"/>
  <c r="F60" i="8"/>
  <c r="L60" i="8" s="1"/>
  <c r="F71" i="8"/>
  <c r="L71" i="8" s="1"/>
  <c r="F67" i="8"/>
  <c r="L67" i="8" s="1"/>
  <c r="F63" i="8"/>
  <c r="L63" i="8" s="1"/>
  <c r="I64" i="8"/>
  <c r="L64" i="8" s="1"/>
  <c r="I73" i="8"/>
  <c r="L73" i="8" s="1"/>
  <c r="M56" i="8"/>
  <c r="L66" i="8"/>
  <c r="J68" i="8"/>
  <c r="M68" i="8" s="1"/>
  <c r="F68" i="8" l="1"/>
  <c r="F74" i="8" s="1"/>
  <c r="F82" i="8" s="1"/>
  <c r="J74" i="8"/>
  <c r="J82" i="8" s="1"/>
  <c r="M74" i="8"/>
  <c r="M82" i="8" s="1"/>
  <c r="I74" i="8"/>
  <c r="I82" i="8" s="1"/>
  <c r="L54" i="8"/>
  <c r="L68" i="8" l="1"/>
  <c r="L74" i="8" s="1"/>
  <c r="L8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Oficina 2</author>
  </authors>
  <commentList>
    <comment ref="A17" authorId="0" shapeId="0" xr:uid="{4B88AAD2-2592-431A-8E62-5AE87EB77352}">
      <text>
        <r>
          <rPr>
            <b/>
            <sz val="9"/>
            <color indexed="81"/>
            <rFont val="Tahoma"/>
            <family val="2"/>
          </rPr>
          <t>Confirmar existencias en almacenes central y regional</t>
        </r>
      </text>
    </comment>
    <comment ref="A20" authorId="0" shapeId="0" xr:uid="{C8B1F77D-679B-4A3F-859E-94639A02DF03}">
      <text>
        <r>
          <rPr>
            <b/>
            <sz val="9"/>
            <color indexed="81"/>
            <rFont val="Tahoma"/>
            <family val="2"/>
          </rPr>
          <t>Confirmar compras en transito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Oficina 2</author>
  </authors>
  <commentList>
    <comment ref="A14" authorId="0" shapeId="0" xr:uid="{5D3606D8-8F9F-407C-B4C3-1774389A962E}">
      <text>
        <r>
          <rPr>
            <b/>
            <sz val="9"/>
            <color indexed="81"/>
            <rFont val="Tahoma"/>
            <family val="2"/>
          </rPr>
          <t>Tomar dato de pruebas de SUMEVE</t>
        </r>
      </text>
    </comment>
    <comment ref="J14" authorId="0" shapeId="0" xr:uid="{D28D168F-BF59-4611-8F63-87A15BEA9DCF}">
      <text>
        <r>
          <rPr>
            <b/>
            <sz val="9"/>
            <color indexed="81"/>
            <rFont val="Tahoma"/>
            <family val="2"/>
          </rPr>
          <t>Del ejercicio de SUMEVE de PR</t>
        </r>
      </text>
    </comment>
    <comment ref="A19" authorId="0" shapeId="0" xr:uid="{FC9A36B9-D7F7-4EE6-9B87-D60DA87ABB79}">
      <text>
        <r>
          <rPr>
            <b/>
            <sz val="9"/>
            <color indexed="81"/>
            <rFont val="Tahoma"/>
            <family val="2"/>
          </rPr>
          <t>Debe venir de la informaci[on de SIS por atencion tipo de poblaccion</t>
        </r>
      </text>
    </comment>
    <comment ref="A24" authorId="0" shapeId="0" xr:uid="{DAF284E1-2EEF-405E-A2C1-D0DC04F3845C}">
      <text>
        <r>
          <rPr>
            <b/>
            <sz val="9"/>
            <color indexed="81"/>
            <rFont val="Tahoma"/>
            <family val="2"/>
          </rPr>
          <t>Confirmar actualizacion o usar la misma base</t>
        </r>
      </text>
    </comment>
    <comment ref="A30" authorId="0" shapeId="0" xr:uid="{1306E852-4091-48AC-A5C3-4682EAA6520E}">
      <text>
        <r>
          <rPr>
            <b/>
            <sz val="9"/>
            <color indexed="81"/>
            <rFont val="Tahoma"/>
            <family val="2"/>
          </rPr>
          <t>De SUMEVE</t>
        </r>
      </text>
    </comment>
  </commentList>
</comments>
</file>

<file path=xl/sharedStrings.xml><?xml version="1.0" encoding="utf-8"?>
<sst xmlns="http://schemas.openxmlformats.org/spreadsheetml/2006/main" count="580" uniqueCount="213">
  <si>
    <t>Preservativo Masculino Látex</t>
  </si>
  <si>
    <t>Preservativo Femenino</t>
  </si>
  <si>
    <t>Masculino</t>
  </si>
  <si>
    <t>Femenino</t>
  </si>
  <si>
    <t>Cantidad total</t>
  </si>
  <si>
    <t>Empaque mínimo</t>
  </si>
  <si>
    <t>Control de Calidad</t>
  </si>
  <si>
    <t>Caja</t>
  </si>
  <si>
    <t>Total Disponible</t>
  </si>
  <si>
    <t>DISTRIBUCIÓN CONDONES UNIDAD DE PROGRAMA ITS/VIH</t>
  </si>
  <si>
    <t>VICITS</t>
  </si>
  <si>
    <t>AMIGABLE</t>
  </si>
  <si>
    <t>CANTIDAD</t>
  </si>
  <si>
    <t>1RA Entrega (Jun)</t>
  </si>
  <si>
    <t>2DA Entrega (Dic)</t>
  </si>
  <si>
    <t>3RA Entrega (Mar)</t>
  </si>
  <si>
    <t>CONDONES MASCULINOS</t>
  </si>
  <si>
    <t>CONDONES FEMENINOS</t>
  </si>
  <si>
    <t>REGIÓN CENTRAL</t>
  </si>
  <si>
    <t>Dr. Carlos Díaz del Pinal</t>
  </si>
  <si>
    <t xml:space="preserve">Puerto La Libertad </t>
  </si>
  <si>
    <t>Lourdes Colón</t>
  </si>
  <si>
    <t>Ciudad Arce</t>
  </si>
  <si>
    <t>Unidad de Salud Quezaltepeque</t>
  </si>
  <si>
    <t>Unidad de Salud San Juan Opico</t>
  </si>
  <si>
    <t>REGIÓN METROPOLITANA</t>
  </si>
  <si>
    <t>San Miguelito</t>
  </si>
  <si>
    <t>Concepción</t>
  </si>
  <si>
    <t>Barrios</t>
  </si>
  <si>
    <t>San Jacinto</t>
  </si>
  <si>
    <t xml:space="preserve">Unicentro </t>
  </si>
  <si>
    <t>Apopa</t>
  </si>
  <si>
    <t>Zacamil</t>
  </si>
  <si>
    <t>Unidad de Salud San Antonio Abad</t>
  </si>
  <si>
    <t>Unidad de Salud Monserrat</t>
  </si>
  <si>
    <t xml:space="preserve">Unidad de Salud San Marcos </t>
  </si>
  <si>
    <t>Unidad de Salud San Martin</t>
  </si>
  <si>
    <t xml:space="preserve">Unidad de Salud Aguilares </t>
  </si>
  <si>
    <t>Unidad de Salud Ciudad Delgado</t>
  </si>
  <si>
    <t>REGIÓN OCCIDENTAL</t>
  </si>
  <si>
    <t>Dr. Tomás Pineda Martínez</t>
  </si>
  <si>
    <t>Casa del Niño</t>
  </si>
  <si>
    <t>Sonzacate</t>
  </si>
  <si>
    <t xml:space="preserve">Ahuachapán </t>
  </si>
  <si>
    <t>Unidad de Salud Acajutla</t>
  </si>
  <si>
    <t>Unidad de Salud Sonsonate</t>
  </si>
  <si>
    <t>Unidad de Salud Chalchuapa</t>
  </si>
  <si>
    <t>Unidad de Salud Metapán</t>
  </si>
  <si>
    <t>Unidad de Salud Santa Barbara</t>
  </si>
  <si>
    <t>Unidad de Salud de Atiquizaya</t>
  </si>
  <si>
    <t>REGIÓN ORIENTAL</t>
  </si>
  <si>
    <t>Anexa San Miguel</t>
  </si>
  <si>
    <t>La Playa - La Unión</t>
  </si>
  <si>
    <t>Usulután</t>
  </si>
  <si>
    <t>Unidad de Salud Santa Rosa de Lima</t>
  </si>
  <si>
    <t>Unidad de Salud La Presita</t>
  </si>
  <si>
    <t>REGIÓN PARACENTRAL</t>
  </si>
  <si>
    <t>Santiago Nonualco</t>
  </si>
  <si>
    <t>Cojutepeque</t>
  </si>
  <si>
    <t>Unidad de Salud de San Rafael Cedros</t>
  </si>
  <si>
    <t>Unidad de Salud San Vicente</t>
  </si>
  <si>
    <t>TOTAL VICITS &amp; AMIGABLES</t>
  </si>
  <si>
    <t>HOSPITAL DR JOSE MOLINA MARTINEZ</t>
  </si>
  <si>
    <t>HOSPITAL DR. JORGE MAZZINI VILLACORTA, SONSONATE</t>
  </si>
  <si>
    <t>HOSPITAL DR. JOSE A. SALDAÑA (NEUMOLOGICO)</t>
  </si>
  <si>
    <t>HOSPITAL NACIONAL DR JUAN JOSE FERNANDEZ</t>
  </si>
  <si>
    <t>HOSPITAL NACIONAL ROSALES</t>
  </si>
  <si>
    <t>HOSPITAL SAN JUAN DE DIOS, SAN MIGUEL</t>
  </si>
  <si>
    <t>HOSPITAL SAN JUAN DE DIOS, SANTA ANA</t>
  </si>
  <si>
    <t>HOSPITAL DR. LUIS E. VAZQUEZ, CHALATENANGO</t>
  </si>
  <si>
    <t>HOSPITAL ENF ANGELICA VIDAL NAJARRO</t>
  </si>
  <si>
    <t>HOSPITAL FRANCISCO MENENDEZ, AHUACHAPAN</t>
  </si>
  <si>
    <t>HOSPITAL NACIONAL BENJAMIN BLOOM</t>
  </si>
  <si>
    <t>HOSPITAL NACIONAL COJUTEPEQUE</t>
  </si>
  <si>
    <t>HOSPITAL NACIONAL LA UNION</t>
  </si>
  <si>
    <t>HOSPITAL NACIONAL SAN PEDRO USULUTAN</t>
  </si>
  <si>
    <t>HOSPITAL SAN RAFAEL, NUEVA SAN SALVADOR</t>
  </si>
  <si>
    <t>HOSPITAL SANTA GERTRUDIS, SAN VICENTE</t>
  </si>
  <si>
    <t>HOSPITAL SANTA TERESA, ZACATECOLUCA</t>
  </si>
  <si>
    <t>HOSPITAL NACIONAL, SENSUNTEPEQUE</t>
  </si>
  <si>
    <t>HOSPITAL NACIONAL DE LA MUJER</t>
  </si>
  <si>
    <t>HOSPITAL NACIONAL, SAN FRANCISCO GOTERA</t>
  </si>
  <si>
    <t>TOTAL HOSPITALES CON TAR</t>
  </si>
  <si>
    <t>COLECTIVO ALEJANDRÍA</t>
  </si>
  <si>
    <t>ASPHID ARCOIRIS</t>
  </si>
  <si>
    <t>LIQUIDAMBAR</t>
  </si>
  <si>
    <t>CONCAVIS TRANS</t>
  </si>
  <si>
    <t>ORQUIDEAS DEL MAR</t>
  </si>
  <si>
    <t>ASOCIACION ENTREAMIGOS</t>
  </si>
  <si>
    <t>TOTAL ONGs</t>
  </si>
  <si>
    <t>TOTAL</t>
  </si>
  <si>
    <t>Cantidad/persona</t>
  </si>
  <si>
    <t>Meta %</t>
  </si>
  <si>
    <t>ciclos</t>
  </si>
  <si>
    <t xml:space="preserve">Región </t>
  </si>
  <si>
    <t>Unidad de Salud - Clínica VICITS</t>
  </si>
  <si>
    <t>Nota</t>
  </si>
  <si>
    <t>HSH</t>
  </si>
  <si>
    <t>TRANS</t>
  </si>
  <si>
    <t>MTS</t>
  </si>
  <si>
    <t>Total</t>
  </si>
  <si>
    <t>Metropolitana</t>
  </si>
  <si>
    <t>PrEP</t>
  </si>
  <si>
    <t>Central</t>
  </si>
  <si>
    <t>Occidental</t>
  </si>
  <si>
    <t>Paracentral</t>
  </si>
  <si>
    <t>Pendiente inicio</t>
  </si>
  <si>
    <t>Oriental</t>
  </si>
  <si>
    <t>VALOR $</t>
  </si>
  <si>
    <t>LUBRICANTES SACHET</t>
  </si>
  <si>
    <t>TOTAL $</t>
  </si>
  <si>
    <t>UCSFE Puerto de La Libertad</t>
  </si>
  <si>
    <t>UCSFE Santa Tecla Dr. Carlos Díaz del Pinal</t>
  </si>
  <si>
    <t>UCSFI Colón Lourdes</t>
  </si>
  <si>
    <t>UCSFI Ciudad Arce</t>
  </si>
  <si>
    <t>UCSF San Juan Opico</t>
  </si>
  <si>
    <t>UCSF Quezaltepeque</t>
  </si>
  <si>
    <t>UCSFE Barrios</t>
  </si>
  <si>
    <t>UCSFE San Jacinto</t>
  </si>
  <si>
    <t>UCSFE San Miguelito</t>
  </si>
  <si>
    <t>UCSFI Concepción</t>
  </si>
  <si>
    <t>UCSFI Apopa</t>
  </si>
  <si>
    <t>UCSFI Aguilares</t>
  </si>
  <si>
    <t>UCSF Zacamil</t>
  </si>
  <si>
    <t>UCSF San Antonio Abad</t>
  </si>
  <si>
    <t xml:space="preserve">UCSF San Martín </t>
  </si>
  <si>
    <t xml:space="preserve">UCSF San Marcos </t>
  </si>
  <si>
    <t>UCSF Unicentro</t>
  </si>
  <si>
    <t>UCSFE Santa Ana Dr. Tomás Pineda Martínez</t>
  </si>
  <si>
    <t>UCSFE Sonzacate</t>
  </si>
  <si>
    <t>UCSFI Ahuachapán</t>
  </si>
  <si>
    <t>UCSFI Santa Ana Casa del Niño</t>
  </si>
  <si>
    <t>UCSF Sonsonate</t>
  </si>
  <si>
    <t xml:space="preserve">UCSF Acajutla </t>
  </si>
  <si>
    <t>UCSF Chalchuapa</t>
  </si>
  <si>
    <t>UCSF Metapán</t>
  </si>
  <si>
    <t>UCSFE San Miguel</t>
  </si>
  <si>
    <t>UCSFI La Unión</t>
  </si>
  <si>
    <t>UCSFI Usulután</t>
  </si>
  <si>
    <t>UCSFI Cojutepeque Periférica</t>
  </si>
  <si>
    <t>UCSFI Santiago Nonualco</t>
  </si>
  <si>
    <t>HOSPITALES CON TAR</t>
  </si>
  <si>
    <t>ONGs</t>
  </si>
  <si>
    <t>Regiones</t>
  </si>
  <si>
    <t>Valor</t>
  </si>
  <si>
    <t>Este presupuesto excluye la necesidad de Hospitales, VICITS y Clínicas amigables</t>
  </si>
  <si>
    <t>Unidad Programa ITS/VIH</t>
  </si>
  <si>
    <t>LUBRICANTES TUBO</t>
  </si>
  <si>
    <t>Este presupuesto está destinado para cubrir la necesidad de Hospitales, VICITS, Clínicas amigables y ONGs</t>
  </si>
  <si>
    <t>VICITS&amp;AMIGABLES</t>
  </si>
  <si>
    <t>HOSPITALES</t>
  </si>
  <si>
    <t>CUANTIFICACIÓN BASADA EN POBLACIÓN</t>
  </si>
  <si>
    <t>REGIONES</t>
  </si>
  <si>
    <t>TOTAL AÑO</t>
  </si>
  <si>
    <t>Stock de seguridad</t>
  </si>
  <si>
    <t>Meses de Stock de Seguridad</t>
  </si>
  <si>
    <t>Existencias</t>
  </si>
  <si>
    <t>26/04/2024</t>
  </si>
  <si>
    <t>Fecha de Corte</t>
  </si>
  <si>
    <t>Compras en tránsito</t>
  </si>
  <si>
    <t>Fecha cierre</t>
  </si>
  <si>
    <t>Necesidad</t>
  </si>
  <si>
    <t>Disponible</t>
  </si>
  <si>
    <t>31/12/2025</t>
  </si>
  <si>
    <t>Cobertura</t>
  </si>
  <si>
    <t>Total a comprar AJUSTADO 2025</t>
  </si>
  <si>
    <t>Factor de empaque</t>
  </si>
  <si>
    <t>Cantidad</t>
  </si>
  <si>
    <t>Costo Unitario</t>
  </si>
  <si>
    <t>Costo Total</t>
  </si>
  <si>
    <t>Total a comprar AJUSTADO 2026</t>
  </si>
  <si>
    <t>Condones masculinos</t>
  </si>
  <si>
    <t>Basado en Lineamiento</t>
  </si>
  <si>
    <t>Condones femeninos</t>
  </si>
  <si>
    <t>Lubricantes sachet</t>
  </si>
  <si>
    <t>Lubricantes tubo</t>
  </si>
  <si>
    <t>ESTABLECIMIENTO</t>
  </si>
  <si>
    <t>PERSONAS CON VIH</t>
  </si>
  <si>
    <t>HOMBRES VIH</t>
  </si>
  <si>
    <t>MUJERES VIH</t>
  </si>
  <si>
    <t>OTROS</t>
  </si>
  <si>
    <t>PPE</t>
  </si>
  <si>
    <t>POBLACIÓN GENERAL</t>
  </si>
  <si>
    <t>REGIÓN METROPOLITANA (VICITS&amp;AMIGABLES)</t>
  </si>
  <si>
    <t>REGIÓN CENTRAL  (VICITS&amp;AMIGABLES)</t>
  </si>
  <si>
    <t>REGIÓN PARACENTRAL  (VICITS&amp;AMIGABLES)</t>
  </si>
  <si>
    <t>REGIÓN OCCIDENTAL (VICITS&amp;AMIGABLES)</t>
  </si>
  <si>
    <t>REGIÓN ORIENTAL (VICITS&amp;AMIGABLES)</t>
  </si>
  <si>
    <t>Frecuencia</t>
  </si>
  <si>
    <t>Fuente: Lineamiento de provisión de condones… Ministerio de Salud 2021.</t>
  </si>
  <si>
    <t>Condones Masculinos</t>
  </si>
  <si>
    <t>OTRAS ITS</t>
  </si>
  <si>
    <t>Criterios según herramienta ONUSIDA</t>
  </si>
  <si>
    <t>% Cobertura</t>
  </si>
  <si>
    <t>Se mantiene cobertura</t>
  </si>
  <si>
    <t>% Sexualmente Activa</t>
  </si>
  <si>
    <t>Se mantienen criterios</t>
  </si>
  <si>
    <t>% Uso de Condón (última relación sexual)</t>
  </si>
  <si>
    <t>SIS-VICITS/eTab</t>
  </si>
  <si>
    <t>% Meta</t>
  </si>
  <si>
    <t>Aceptabilidad del uso</t>
  </si>
  <si>
    <t>confirmar aceptabilidad</t>
  </si>
  <si>
    <t>Condones Femeninos</t>
  </si>
  <si>
    <t>Aceptabilidad</t>
  </si>
  <si>
    <t>Lubricantes Sachet</t>
  </si>
  <si>
    <t>Lubricantes Tubo</t>
  </si>
  <si>
    <t>Cantidad mínima requerida Año 2025</t>
  </si>
  <si>
    <t>Crecimiento</t>
  </si>
  <si>
    <t>Cantidad mínima requerida Año 2026</t>
  </si>
  <si>
    <t>Cantidad mínima requerida Año 2027</t>
  </si>
  <si>
    <t>Total a comprar AJUSTADO 2027</t>
  </si>
  <si>
    <t>% Cobertura Condones Femenino</t>
  </si>
  <si>
    <t>Población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</si>
</sst>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&quot;$&quot;* #,##0_);_(&quot;$&quot;* \(#,##0\);_(&quot;$&quot;* &quot;-&quot;??_);_(@_)"/>
    <numFmt numFmtId="168" formatCode="0.00000000000"/>
    <numFmt numFmtId="169" formatCode="_(* #,##0_);_(* \(#,##0\);_(* &quot;-&quot;??_);_(@_)"/>
    <numFmt numFmtId="170" formatCode="_(* #,##0.000_);_(* \(#,##0.000\);_(* &quot;-&quot;??_);_(@_)"/>
    <numFmt numFmtId="171" formatCode="0.0000"/>
    <numFmt numFmtId="172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8A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78">
    <xf numFmtId="0" fontId="0" fillId="0" borderId="0" xfId="0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9" fontId="0" fillId="5" borderId="16" xfId="0" applyNumberFormat="1" applyFill="1" applyBorder="1"/>
    <xf numFmtId="9" fontId="0" fillId="5" borderId="17" xfId="0" applyNumberFormat="1" applyFill="1" applyBorder="1"/>
    <xf numFmtId="9" fontId="0" fillId="5" borderId="18" xfId="0" applyNumberFormat="1" applyFill="1" applyBorder="1"/>
    <xf numFmtId="0" fontId="2" fillId="6" borderId="11" xfId="0" applyFont="1" applyFill="1" applyBorder="1"/>
    <xf numFmtId="0" fontId="2" fillId="5" borderId="12" xfId="0" applyFont="1" applyFill="1" applyBorder="1"/>
    <xf numFmtId="3" fontId="0" fillId="0" borderId="4" xfId="0" applyNumberForma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5" fillId="0" borderId="1" xfId="1" applyFont="1" applyBorder="1" applyAlignment="1">
      <alignment vertical="top" wrapText="1"/>
    </xf>
    <xf numFmtId="166" fontId="5" fillId="0" borderId="1" xfId="1" applyNumberFormat="1" applyFont="1" applyBorder="1" applyAlignment="1">
      <alignment vertical="top" wrapText="1"/>
    </xf>
    <xf numFmtId="0" fontId="1" fillId="8" borderId="19" xfId="0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1" applyFont="1"/>
    <xf numFmtId="166" fontId="6" fillId="0" borderId="1" xfId="1" applyNumberFormat="1" applyFont="1" applyBorder="1" applyAlignment="1">
      <alignment vertical="top" wrapText="1"/>
    </xf>
    <xf numFmtId="9" fontId="2" fillId="5" borderId="0" xfId="0" applyNumberFormat="1" applyFont="1" applyFill="1"/>
    <xf numFmtId="0" fontId="4" fillId="8" borderId="14" xfId="0" applyFont="1" applyFill="1" applyBorder="1"/>
    <xf numFmtId="3" fontId="0" fillId="4" borderId="9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12" borderId="0" xfId="0" applyFont="1" applyFill="1" applyAlignment="1">
      <alignment horizontal="center"/>
    </xf>
    <xf numFmtId="14" fontId="2" fillId="12" borderId="0" xfId="0" applyNumberFormat="1" applyFont="1" applyFill="1" applyAlignment="1">
      <alignment horizontal="center"/>
    </xf>
    <xf numFmtId="3" fontId="0" fillId="1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3" fontId="0" fillId="10" borderId="4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167" fontId="2" fillId="0" borderId="1" xfId="2" applyNumberFormat="1" applyFont="1" applyBorder="1" applyAlignment="1">
      <alignment horizontal="center"/>
    </xf>
    <xf numFmtId="164" fontId="2" fillId="12" borderId="0" xfId="2" applyFont="1" applyFill="1" applyAlignment="1">
      <alignment horizontal="center"/>
    </xf>
    <xf numFmtId="0" fontId="1" fillId="8" borderId="0" xfId="0" applyFont="1" applyFill="1"/>
    <xf numFmtId="167" fontId="2" fillId="5" borderId="1" xfId="2" applyNumberFormat="1" applyFont="1" applyFill="1" applyBorder="1" applyAlignment="1">
      <alignment horizontal="center" vertical="center" wrapText="1"/>
    </xf>
    <xf numFmtId="0" fontId="1" fillId="8" borderId="24" xfId="0" applyFont="1" applyFill="1" applyBorder="1"/>
    <xf numFmtId="168" fontId="0" fillId="0" borderId="0" xfId="0" applyNumberFormat="1"/>
    <xf numFmtId="3" fontId="1" fillId="8" borderId="2" xfId="0" applyNumberFormat="1" applyFont="1" applyFill="1" applyBorder="1" applyAlignment="1">
      <alignment horizontal="left" vertical="center" wrapText="1"/>
    </xf>
    <xf numFmtId="0" fontId="0" fillId="10" borderId="25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3" fontId="0" fillId="10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7" fontId="0" fillId="0" borderId="0" xfId="3" applyNumberFormat="1" applyFont="1"/>
    <xf numFmtId="164" fontId="0" fillId="0" borderId="0" xfId="2" applyFont="1"/>
    <xf numFmtId="164" fontId="2" fillId="5" borderId="1" xfId="2" applyFont="1" applyFill="1" applyBorder="1" applyAlignment="1">
      <alignment horizontal="center" vertical="center" wrapText="1"/>
    </xf>
    <xf numFmtId="3" fontId="1" fillId="13" borderId="2" xfId="0" applyNumberFormat="1" applyFont="1" applyFill="1" applyBorder="1" applyAlignment="1">
      <alignment horizontal="center" vertical="center" wrapText="1"/>
    </xf>
    <xf numFmtId="3" fontId="1" fillId="13" borderId="2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14" borderId="2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0" fillId="5" borderId="27" xfId="0" applyFill="1" applyBorder="1"/>
    <xf numFmtId="0" fontId="0" fillId="15" borderId="27" xfId="0" applyFill="1" applyBorder="1"/>
    <xf numFmtId="0" fontId="0" fillId="0" borderId="27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2" fillId="0" borderId="1" xfId="0" applyNumberFormat="1" applyFont="1" applyBorder="1"/>
    <xf numFmtId="164" fontId="0" fillId="0" borderId="1" xfId="2" applyFont="1" applyBorder="1"/>
    <xf numFmtId="164" fontId="2" fillId="0" borderId="1" xfId="2" applyFont="1" applyBorder="1"/>
    <xf numFmtId="169" fontId="0" fillId="0" borderId="1" xfId="3" applyNumberFormat="1" applyFon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164" fontId="1" fillId="8" borderId="0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9" fontId="0" fillId="0" borderId="0" xfId="3" applyNumberFormat="1" applyFont="1"/>
    <xf numFmtId="169" fontId="2" fillId="0" borderId="0" xfId="0" applyNumberFormat="1" applyFont="1"/>
    <xf numFmtId="169" fontId="1" fillId="8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16" borderId="27" xfId="0" applyFont="1" applyFill="1" applyBorder="1" applyAlignment="1">
      <alignment horizontal="left" vertical="center" wrapText="1"/>
    </xf>
    <xf numFmtId="3" fontId="1" fillId="16" borderId="1" xfId="0" applyNumberFormat="1" applyFont="1" applyFill="1" applyBorder="1"/>
    <xf numFmtId="170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169" fontId="4" fillId="0" borderId="0" xfId="3" applyNumberFormat="1" applyFont="1"/>
    <xf numFmtId="169" fontId="4" fillId="0" borderId="0" xfId="3" applyNumberFormat="1" applyFont="1" applyAlignment="1">
      <alignment horizontal="right"/>
    </xf>
    <xf numFmtId="0" fontId="10" fillId="5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10" fillId="15" borderId="29" xfId="0" applyFont="1" applyFill="1" applyBorder="1" applyAlignment="1">
      <alignment horizontal="left" vertical="center" wrapText="1"/>
    </xf>
    <xf numFmtId="0" fontId="2" fillId="0" borderId="29" xfId="0" applyFont="1" applyBorder="1"/>
    <xf numFmtId="0" fontId="0" fillId="0" borderId="29" xfId="0" applyBorder="1"/>
    <xf numFmtId="0" fontId="0" fillId="5" borderId="29" xfId="0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15" borderId="29" xfId="0" applyFill="1" applyBorder="1"/>
    <xf numFmtId="0" fontId="0" fillId="15" borderId="29" xfId="0" applyFill="1" applyBorder="1" applyAlignment="1">
      <alignment horizontal="left"/>
    </xf>
    <xf numFmtId="0" fontId="0" fillId="15" borderId="29" xfId="0" applyFill="1" applyBorder="1" applyAlignment="1">
      <alignment vertical="center"/>
    </xf>
    <xf numFmtId="0" fontId="0" fillId="18" borderId="29" xfId="0" applyFill="1" applyBorder="1"/>
    <xf numFmtId="169" fontId="2" fillId="0" borderId="0" xfId="3" applyNumberFormat="1" applyFont="1"/>
    <xf numFmtId="3" fontId="2" fillId="0" borderId="0" xfId="0" applyNumberFormat="1" applyFont="1" applyAlignment="1">
      <alignment horizontal="center"/>
    </xf>
    <xf numFmtId="3" fontId="0" fillId="9" borderId="29" xfId="0" applyNumberFormat="1" applyFill="1" applyBorder="1" applyAlignment="1">
      <alignment horizontal="center" vertical="center"/>
    </xf>
    <xf numFmtId="0" fontId="2" fillId="6" borderId="29" xfId="0" applyFont="1" applyFill="1" applyBorder="1"/>
    <xf numFmtId="0" fontId="0" fillId="6" borderId="29" xfId="0" applyFill="1" applyBorder="1"/>
    <xf numFmtId="0" fontId="2" fillId="5" borderId="29" xfId="0" applyFont="1" applyFill="1" applyBorder="1"/>
    <xf numFmtId="9" fontId="0" fillId="5" borderId="29" xfId="0" applyNumberFormat="1" applyFill="1" applyBorder="1"/>
    <xf numFmtId="0" fontId="4" fillId="8" borderId="29" xfId="0" applyFont="1" applyFill="1" applyBorder="1"/>
    <xf numFmtId="169" fontId="0" fillId="0" borderId="0" xfId="0" applyNumberFormat="1"/>
    <xf numFmtId="171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0" fillId="0" borderId="30" xfId="0" applyBorder="1"/>
    <xf numFmtId="169" fontId="2" fillId="0" borderId="1" xfId="3" applyNumberFormat="1" applyFont="1" applyBorder="1"/>
    <xf numFmtId="9" fontId="5" fillId="10" borderId="1" xfId="1" applyFont="1" applyFill="1" applyBorder="1" applyAlignment="1">
      <alignment vertical="top" wrapText="1"/>
    </xf>
    <xf numFmtId="172" fontId="2" fillId="12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169" fontId="2" fillId="12" borderId="0" xfId="3" applyNumberFormat="1" applyFont="1" applyFill="1" applyAlignment="1">
      <alignment horizontal="center"/>
    </xf>
    <xf numFmtId="9" fontId="0" fillId="0" borderId="19" xfId="1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9" fontId="2" fillId="0" borderId="0" xfId="1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164" fontId="2" fillId="0" borderId="27" xfId="2" applyFont="1" applyBorder="1" applyAlignment="1">
      <alignment horizontal="center" wrapText="1"/>
    </xf>
    <xf numFmtId="164" fontId="2" fillId="0" borderId="24" xfId="2" applyFont="1" applyBorder="1" applyAlignment="1">
      <alignment horizontal="center" wrapText="1"/>
    </xf>
    <xf numFmtId="164" fontId="2" fillId="0" borderId="28" xfId="2" applyFont="1" applyBorder="1" applyAlignment="1">
      <alignment horizontal="center" wrapText="1"/>
    </xf>
    <xf numFmtId="3" fontId="1" fillId="14" borderId="19" xfId="0" applyNumberFormat="1" applyFont="1" applyFill="1" applyBorder="1" applyAlignment="1">
      <alignment horizontal="center" vertical="center" wrapText="1"/>
    </xf>
    <xf numFmtId="3" fontId="1" fillId="14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 vertical="center" wrapText="1"/>
    </xf>
    <xf numFmtId="3" fontId="1" fillId="8" borderId="21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left" vertical="center" wrapText="1"/>
    </xf>
    <xf numFmtId="3" fontId="1" fillId="8" borderId="21" xfId="0" applyNumberFormat="1" applyFont="1" applyFill="1" applyBorder="1" applyAlignment="1">
      <alignment horizontal="left" vertical="center" wrapText="1"/>
    </xf>
    <xf numFmtId="3" fontId="1" fillId="8" borderId="22" xfId="0" applyNumberFormat="1" applyFont="1" applyFill="1" applyBorder="1" applyAlignment="1">
      <alignment horizontal="left" vertical="center" wrapText="1"/>
    </xf>
    <xf numFmtId="3" fontId="1" fillId="8" borderId="23" xfId="0" applyNumberFormat="1" applyFont="1" applyFill="1" applyBorder="1" applyAlignment="1">
      <alignment horizontal="left" vertical="center" wrapText="1"/>
    </xf>
    <xf numFmtId="0" fontId="7" fillId="11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2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423335</xdr:colOff>
      <xdr:row>1</xdr:row>
      <xdr:rowOff>68481</xdr:rowOff>
    </xdr:from>
    <xdr:to>
      <xdr:col>6</xdr:col>
      <xdr:colOff>668743</xdr:colOff>
      <xdr:row>22</xdr:row>
      <xdr:rowOff>155210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A0BA0A-B698-1919-BE6E-DE9E3E2FF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5" y="261471"/>
          <a:ext cx="5833284" cy="4139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C3AD-1555-472C-AC4C-4D5049D96CEE}">
  <dimension ref="B1:N83"/>
  <sheetViews>
    <sheetView showGridLines="0" workbookViewId="0">
      <selection activeCell="C8" sqref="C8:D9"/>
    </sheetView>
  </sheetViews>
  <sheetFormatPr baseColWidth="10" defaultColWidth="11.44140625" defaultRowHeight="14.4" x14ac:dyDescent="0.3"/>
  <cols>
    <col min="2" max="2" width="53.77734375" customWidth="1"/>
    <col min="3" max="3" width="18.5546875" bestFit="1" customWidth="1"/>
    <col min="4" max="4" width="13.5546875" customWidth="1"/>
    <col min="6" max="6" width="15.5546875" bestFit="1" customWidth="1"/>
    <col min="9" max="9" width="11.77734375" bestFit="1" customWidth="1"/>
    <col min="12" max="12" width="11.77734375" bestFit="1" customWidth="1"/>
  </cols>
  <sheetData>
    <row r="1" spans="2:14" ht="28.8" x14ac:dyDescent="0.3">
      <c r="C1" s="95" t="s">
        <v>0</v>
      </c>
      <c r="D1" s="95" t="s">
        <v>1</v>
      </c>
      <c r="F1" s="99"/>
      <c r="G1" s="99"/>
      <c r="H1" s="100" t="s">
        <v>2</v>
      </c>
      <c r="I1" s="100" t="s">
        <v>3</v>
      </c>
    </row>
    <row r="2" spans="2:14" x14ac:dyDescent="0.3">
      <c r="B2" t="s">
        <v>4</v>
      </c>
      <c r="C2" s="92">
        <v>7182558</v>
      </c>
      <c r="D2" s="92">
        <v>85970</v>
      </c>
      <c r="F2" s="99" t="s">
        <v>5</v>
      </c>
      <c r="G2" s="99"/>
      <c r="H2" s="101">
        <v>5184</v>
      </c>
      <c r="I2" s="99">
        <v>50</v>
      </c>
    </row>
    <row r="3" spans="2:14" x14ac:dyDescent="0.3">
      <c r="B3" t="s">
        <v>6</v>
      </c>
      <c r="C3" s="92">
        <v>450</v>
      </c>
      <c r="D3" s="92"/>
      <c r="F3" s="99" t="s">
        <v>7</v>
      </c>
      <c r="G3" s="99"/>
      <c r="H3" s="101">
        <v>5184</v>
      </c>
      <c r="I3" s="102">
        <v>1000</v>
      </c>
    </row>
    <row r="4" spans="2:14" x14ac:dyDescent="0.3">
      <c r="B4" s="29" t="s">
        <v>8</v>
      </c>
      <c r="C4" s="93">
        <f>C2-C3</f>
        <v>7182108</v>
      </c>
      <c r="D4" s="93">
        <f>D2-D3</f>
        <v>85970</v>
      </c>
      <c r="F4" s="99"/>
      <c r="G4" s="99"/>
      <c r="H4" s="99"/>
      <c r="I4" s="99"/>
    </row>
    <row r="6" spans="2:14" x14ac:dyDescent="0.3">
      <c r="B6" s="90" t="s">
        <v>9</v>
      </c>
      <c r="C6" s="94">
        <f>C4</f>
        <v>7182108</v>
      </c>
      <c r="D6" s="94">
        <f>D4</f>
        <v>85970</v>
      </c>
      <c r="F6" s="77" t="s">
        <v>10</v>
      </c>
      <c r="G6" s="76" t="s">
        <v>11</v>
      </c>
    </row>
    <row r="8" spans="2:14" ht="31.8" customHeight="1" x14ac:dyDescent="0.3">
      <c r="C8" s="142" t="s">
        <v>12</v>
      </c>
      <c r="D8" s="143"/>
      <c r="F8" s="142" t="s">
        <v>13</v>
      </c>
      <c r="G8" s="143"/>
      <c r="I8" s="142" t="s">
        <v>14</v>
      </c>
      <c r="J8" s="143"/>
      <c r="L8" s="142" t="s">
        <v>15</v>
      </c>
      <c r="M8" s="143"/>
    </row>
    <row r="9" spans="2:14" ht="34.35" customHeight="1" x14ac:dyDescent="0.3">
      <c r="C9" s="82" t="s">
        <v>16</v>
      </c>
      <c r="D9" s="82" t="s">
        <v>17</v>
      </c>
      <c r="F9" s="82" t="s">
        <v>16</v>
      </c>
      <c r="G9" s="82" t="s">
        <v>17</v>
      </c>
      <c r="I9" s="82" t="s">
        <v>16</v>
      </c>
      <c r="J9" s="82" t="s">
        <v>17</v>
      </c>
      <c r="L9" s="82" t="s">
        <v>16</v>
      </c>
      <c r="M9" s="82" t="s">
        <v>17</v>
      </c>
    </row>
    <row r="10" spans="2:14" x14ac:dyDescent="0.3">
      <c r="B10" s="78" t="s">
        <v>18</v>
      </c>
      <c r="C10" s="84">
        <f>SUM(C11:C16)</f>
        <v>254016</v>
      </c>
      <c r="D10" s="84">
        <f>SUM(D11:D16)</f>
        <v>1080</v>
      </c>
      <c r="E10" s="89"/>
      <c r="F10" s="84">
        <f>SUM(F11:F16)</f>
        <v>139968</v>
      </c>
      <c r="G10" s="84">
        <f>SUM(G11:G16)</f>
        <v>1080</v>
      </c>
      <c r="I10" s="84">
        <f>SUM(I11:I16)</f>
        <v>124416</v>
      </c>
      <c r="J10" s="84">
        <f>SUM(J11:J16)</f>
        <v>0</v>
      </c>
      <c r="L10" s="84">
        <f>SUM(L11:L16)</f>
        <v>-10368</v>
      </c>
      <c r="M10" s="84">
        <f>SUM(M11:M16)</f>
        <v>0</v>
      </c>
      <c r="N10" s="74">
        <f>+L10+I10</f>
        <v>114048</v>
      </c>
    </row>
    <row r="11" spans="2:14" x14ac:dyDescent="0.3">
      <c r="B11" s="79" t="s">
        <v>19</v>
      </c>
      <c r="C11" s="87">
        <f>VLOOKUP(B11,Segregación!B:I,7,0)</f>
        <v>72576</v>
      </c>
      <c r="D11" s="87">
        <f>VLOOKUP(B11,Segregación!B:I,8,0)</f>
        <v>180</v>
      </c>
      <c r="E11" s="98"/>
      <c r="F11" s="87">
        <f>IF(C11&lt;25000,C11,IF(C11&gt;75000,CEILING(C11/3,H$2),CEILING(C11/2,H$2)))</f>
        <v>36288</v>
      </c>
      <c r="G11" s="87">
        <f>IF(D11&lt;500,D11,CEILING(D11/2,I$2))</f>
        <v>180</v>
      </c>
      <c r="H11" s="98"/>
      <c r="I11" s="87">
        <f>C11-F11</f>
        <v>36288</v>
      </c>
      <c r="J11" s="87">
        <f>D11-G11</f>
        <v>0</v>
      </c>
      <c r="K11" s="98"/>
      <c r="L11" s="87">
        <f>C11-F11-I11</f>
        <v>0</v>
      </c>
      <c r="M11" s="87">
        <f>D11-G11-J11</f>
        <v>0</v>
      </c>
      <c r="N11" s="74">
        <f t="shared" ref="N11:N53" si="0">+L11+I11</f>
        <v>36288</v>
      </c>
    </row>
    <row r="12" spans="2:14" x14ac:dyDescent="0.3">
      <c r="B12" s="79" t="s">
        <v>20</v>
      </c>
      <c r="C12" s="87">
        <f>VLOOKUP(B12,Segregación!B:I,7,0)</f>
        <v>57024</v>
      </c>
      <c r="D12" s="87">
        <f>VLOOKUP(B12,Segregación!B:I,8,0)</f>
        <v>180</v>
      </c>
      <c r="E12" s="98"/>
      <c r="F12" s="87">
        <f t="shared" ref="F12:F16" si="1">IF(C12&lt;25000,C12,IF(C12&gt;75000,CEILING(C12/3,H$2),CEILING(C12/2,H$2)))</f>
        <v>31104</v>
      </c>
      <c r="G12" s="87">
        <f t="shared" ref="G12:G16" si="2">IF(D12&lt;500,D12,CEILING(D12/2,I$2))</f>
        <v>180</v>
      </c>
      <c r="H12" s="98"/>
      <c r="I12" s="87">
        <f>IF(C12&lt;25000,C12,IF(C12&gt;75000,CEILING(C12/3,H$2),CEILING(C12/2,H$2)))</f>
        <v>31104</v>
      </c>
      <c r="J12" s="87">
        <f t="shared" ref="J12:J16" si="3">D12-G12</f>
        <v>0</v>
      </c>
      <c r="K12" s="98"/>
      <c r="L12" s="87">
        <f t="shared" ref="L12:L16" si="4">C12-F12-I12</f>
        <v>-5184</v>
      </c>
      <c r="M12" s="87">
        <f t="shared" ref="M12:M16" si="5">D12-G12-J12</f>
        <v>0</v>
      </c>
      <c r="N12" s="74">
        <f t="shared" si="0"/>
        <v>25920</v>
      </c>
    </row>
    <row r="13" spans="2:14" x14ac:dyDescent="0.3">
      <c r="B13" s="79" t="s">
        <v>21</v>
      </c>
      <c r="C13" s="87">
        <f>VLOOKUP(B13,Segregación!B:I,7,0)</f>
        <v>46656</v>
      </c>
      <c r="D13" s="87">
        <f>VLOOKUP(B13,Segregación!B:I,8,0)</f>
        <v>270</v>
      </c>
      <c r="E13" s="98"/>
      <c r="F13" s="87">
        <f t="shared" si="1"/>
        <v>25920</v>
      </c>
      <c r="G13" s="87">
        <f t="shared" si="2"/>
        <v>270</v>
      </c>
      <c r="H13" s="98"/>
      <c r="I13" s="87">
        <f t="shared" ref="I13" si="6">IF(C13&lt;25000,C13,IF(C13&gt;75000,CEILING(C13/3,H$2),CEILING(C13/2,H$2)))</f>
        <v>25920</v>
      </c>
      <c r="J13" s="87">
        <f t="shared" si="3"/>
        <v>0</v>
      </c>
      <c r="K13" s="98"/>
      <c r="L13" s="87">
        <f t="shared" si="4"/>
        <v>-5184</v>
      </c>
      <c r="M13" s="87">
        <f t="shared" si="5"/>
        <v>0</v>
      </c>
      <c r="N13" s="74">
        <f t="shared" si="0"/>
        <v>20736</v>
      </c>
    </row>
    <row r="14" spans="2:14" x14ac:dyDescent="0.3">
      <c r="B14" s="79" t="s">
        <v>22</v>
      </c>
      <c r="C14" s="87">
        <f>VLOOKUP(B14,Segregación!B:I,7,0)</f>
        <v>41472</v>
      </c>
      <c r="D14" s="87">
        <f>VLOOKUP(B14,Segregación!B:I,8,0)</f>
        <v>180</v>
      </c>
      <c r="E14" s="98"/>
      <c r="F14" s="87">
        <f t="shared" si="1"/>
        <v>20736</v>
      </c>
      <c r="G14" s="87">
        <f t="shared" si="2"/>
        <v>180</v>
      </c>
      <c r="H14" s="98"/>
      <c r="I14" s="87">
        <f t="shared" ref="I14:I16" si="7">C14-F14</f>
        <v>20736</v>
      </c>
      <c r="J14" s="87">
        <f t="shared" si="3"/>
        <v>0</v>
      </c>
      <c r="K14" s="98"/>
      <c r="L14" s="87">
        <f t="shared" si="4"/>
        <v>0</v>
      </c>
      <c r="M14" s="87">
        <f t="shared" si="5"/>
        <v>0</v>
      </c>
      <c r="N14" s="74">
        <f t="shared" si="0"/>
        <v>20736</v>
      </c>
    </row>
    <row r="15" spans="2:14" x14ac:dyDescent="0.3">
      <c r="B15" s="80" t="s">
        <v>23</v>
      </c>
      <c r="C15" s="87">
        <f>VLOOKUP(B15,Segregación!B:I,7,0)</f>
        <v>10368</v>
      </c>
      <c r="D15" s="87">
        <f>VLOOKUP(B15,Segregación!B:I,8,0)</f>
        <v>90</v>
      </c>
      <c r="E15" s="98"/>
      <c r="F15" s="87">
        <f t="shared" si="1"/>
        <v>10368</v>
      </c>
      <c r="G15" s="87">
        <f t="shared" si="2"/>
        <v>90</v>
      </c>
      <c r="H15" s="98"/>
      <c r="I15" s="87">
        <f t="shared" si="7"/>
        <v>0</v>
      </c>
      <c r="J15" s="87">
        <f t="shared" si="3"/>
        <v>0</v>
      </c>
      <c r="K15" s="98"/>
      <c r="L15" s="87">
        <f t="shared" si="4"/>
        <v>0</v>
      </c>
      <c r="M15" s="87">
        <f t="shared" si="5"/>
        <v>0</v>
      </c>
      <c r="N15" s="74">
        <f t="shared" si="0"/>
        <v>0</v>
      </c>
    </row>
    <row r="16" spans="2:14" x14ac:dyDescent="0.3">
      <c r="B16" s="80" t="s">
        <v>24</v>
      </c>
      <c r="C16" s="87">
        <f>VLOOKUP(B16,Segregación!B:I,7,0)</f>
        <v>25920</v>
      </c>
      <c r="D16" s="87">
        <f>VLOOKUP(B16,Segregación!B:I,8,0)</f>
        <v>180</v>
      </c>
      <c r="E16" s="98"/>
      <c r="F16" s="87">
        <f t="shared" si="1"/>
        <v>15552</v>
      </c>
      <c r="G16" s="87">
        <f t="shared" si="2"/>
        <v>180</v>
      </c>
      <c r="H16" s="98"/>
      <c r="I16" s="87">
        <f t="shared" si="7"/>
        <v>10368</v>
      </c>
      <c r="J16" s="87">
        <f t="shared" si="3"/>
        <v>0</v>
      </c>
      <c r="K16" s="98"/>
      <c r="L16" s="87">
        <f t="shared" si="4"/>
        <v>0</v>
      </c>
      <c r="M16" s="87">
        <f t="shared" si="5"/>
        <v>0</v>
      </c>
      <c r="N16" s="74">
        <f t="shared" si="0"/>
        <v>10368</v>
      </c>
    </row>
    <row r="17" spans="2:14" x14ac:dyDescent="0.3">
      <c r="B17" s="78" t="s">
        <v>25</v>
      </c>
      <c r="C17" s="84">
        <f>SUM(C18:C30)</f>
        <v>1213056</v>
      </c>
      <c r="D17" s="84">
        <f>SUM(D18:D30)</f>
        <v>4140</v>
      </c>
      <c r="E17" s="98"/>
      <c r="F17" s="84">
        <f>SUM(F18:F30)</f>
        <v>482112</v>
      </c>
      <c r="G17" s="84">
        <f>SUM(G18:G30)</f>
        <v>3020</v>
      </c>
      <c r="H17" s="98"/>
      <c r="I17" s="84">
        <f>SUM(I18:I30)</f>
        <v>383616</v>
      </c>
      <c r="J17" s="84">
        <f>SUM(J18:J30)</f>
        <v>1120</v>
      </c>
      <c r="K17" s="98"/>
      <c r="L17" s="84">
        <f>SUM(L18:L30)</f>
        <v>347328</v>
      </c>
      <c r="M17" s="84">
        <f>SUM(M18:M30)</f>
        <v>0</v>
      </c>
      <c r="N17" s="74">
        <f t="shared" si="0"/>
        <v>730944</v>
      </c>
    </row>
    <row r="18" spans="2:14" x14ac:dyDescent="0.3">
      <c r="B18" s="103" t="s">
        <v>26</v>
      </c>
      <c r="C18" s="87">
        <f>VLOOKUP(B18,Segregación!B:I,7,0)</f>
        <v>186624</v>
      </c>
      <c r="D18" s="87">
        <f>VLOOKUP(B18,Segregación!B:I,8,0)</f>
        <v>540</v>
      </c>
      <c r="E18" s="98"/>
      <c r="F18" s="87">
        <f t="shared" ref="F18:F80" si="8">IF(C18&lt;25000,C18,IF(C18&gt;75000,CEILING(C18/3,H$2),CEILING(C18/2,H$2)))</f>
        <v>62208</v>
      </c>
      <c r="G18" s="87">
        <f t="shared" ref="G18:G80" si="9">IF(D18&lt;500,D18,CEILING(D18/2,I$2))</f>
        <v>300</v>
      </c>
      <c r="H18" s="98"/>
      <c r="I18" s="87">
        <f t="shared" ref="I18:I80" si="10">IF(C18&lt;25000,C18,IF(C18&gt;75000,CEILING(C18/3,H$2),CEILING(C18/2,H$2)))</f>
        <v>62208</v>
      </c>
      <c r="J18" s="87">
        <f t="shared" ref="J18:J80" si="11">D18-G18</f>
        <v>240</v>
      </c>
      <c r="K18" s="98"/>
      <c r="L18" s="87">
        <f t="shared" ref="L18" si="12">C18-F18-I18</f>
        <v>62208</v>
      </c>
      <c r="M18" s="87">
        <f t="shared" ref="M18" si="13">D18-G18-J18</f>
        <v>0</v>
      </c>
      <c r="N18" s="74">
        <f t="shared" si="0"/>
        <v>124416</v>
      </c>
    </row>
    <row r="19" spans="2:14" x14ac:dyDescent="0.3">
      <c r="B19" s="103" t="s">
        <v>27</v>
      </c>
      <c r="C19" s="87">
        <f>VLOOKUP(B19,Segregación!B:I,7,0)</f>
        <v>212544</v>
      </c>
      <c r="D19" s="87">
        <f>VLOOKUP(B19,Segregación!B:I,8,0)</f>
        <v>720</v>
      </c>
      <c r="E19" s="98"/>
      <c r="F19" s="87">
        <f t="shared" si="8"/>
        <v>72576</v>
      </c>
      <c r="G19" s="87">
        <f t="shared" si="9"/>
        <v>400</v>
      </c>
      <c r="H19" s="98"/>
      <c r="I19" s="87">
        <f t="shared" si="10"/>
        <v>72576</v>
      </c>
      <c r="J19" s="87">
        <f t="shared" si="11"/>
        <v>320</v>
      </c>
      <c r="K19" s="98"/>
      <c r="L19" s="87">
        <f t="shared" ref="L19:L30" si="14">C19-F19-I19</f>
        <v>67392</v>
      </c>
      <c r="M19" s="87">
        <f t="shared" ref="M19:M30" si="15">D19-G19-J19</f>
        <v>0</v>
      </c>
      <c r="N19" s="74">
        <f t="shared" si="0"/>
        <v>139968</v>
      </c>
    </row>
    <row r="20" spans="2:14" x14ac:dyDescent="0.3">
      <c r="B20" s="103" t="s">
        <v>28</v>
      </c>
      <c r="C20" s="87">
        <f>VLOOKUP(B20,Segregación!B:I,7,0)</f>
        <v>98496</v>
      </c>
      <c r="D20" s="87">
        <f>VLOOKUP(B20,Segregación!B:I,8,0)</f>
        <v>180</v>
      </c>
      <c r="E20" s="98"/>
      <c r="F20" s="87">
        <f t="shared" si="8"/>
        <v>36288</v>
      </c>
      <c r="G20" s="87">
        <f t="shared" si="9"/>
        <v>180</v>
      </c>
      <c r="H20" s="98"/>
      <c r="I20" s="87">
        <f t="shared" si="10"/>
        <v>36288</v>
      </c>
      <c r="J20" s="87">
        <f t="shared" si="11"/>
        <v>0</v>
      </c>
      <c r="K20" s="98"/>
      <c r="L20" s="87">
        <f t="shared" si="14"/>
        <v>25920</v>
      </c>
      <c r="M20" s="87">
        <f t="shared" si="15"/>
        <v>0</v>
      </c>
      <c r="N20" s="74">
        <f t="shared" si="0"/>
        <v>62208</v>
      </c>
    </row>
    <row r="21" spans="2:14" x14ac:dyDescent="0.3">
      <c r="B21" s="103" t="s">
        <v>29</v>
      </c>
      <c r="C21" s="87">
        <f>VLOOKUP(B21,Segregación!B:I,7,0)</f>
        <v>207360</v>
      </c>
      <c r="D21" s="87">
        <f>VLOOKUP(B21,Segregación!B:I,8,0)</f>
        <v>450</v>
      </c>
      <c r="E21" s="98"/>
      <c r="F21" s="87">
        <f t="shared" si="8"/>
        <v>72576</v>
      </c>
      <c r="G21" s="87">
        <f t="shared" si="9"/>
        <v>450</v>
      </c>
      <c r="H21" s="98"/>
      <c r="I21" s="87">
        <f t="shared" si="10"/>
        <v>72576</v>
      </c>
      <c r="J21" s="87">
        <f t="shared" si="11"/>
        <v>0</v>
      </c>
      <c r="K21" s="98"/>
      <c r="L21" s="87">
        <f t="shared" si="14"/>
        <v>62208</v>
      </c>
      <c r="M21" s="87">
        <f t="shared" si="15"/>
        <v>0</v>
      </c>
      <c r="N21" s="74">
        <f t="shared" si="0"/>
        <v>134784</v>
      </c>
    </row>
    <row r="22" spans="2:14" x14ac:dyDescent="0.3">
      <c r="B22" s="109" t="s">
        <v>30</v>
      </c>
      <c r="C22" s="87">
        <f>VLOOKUP(B22,Segregación!B:I,7,0)</f>
        <v>202176</v>
      </c>
      <c r="D22" s="87">
        <f>VLOOKUP(B22,Segregación!B:I,8,0)</f>
        <v>720</v>
      </c>
      <c r="E22" s="98"/>
      <c r="F22" s="87">
        <f t="shared" si="8"/>
        <v>67392</v>
      </c>
      <c r="G22" s="87">
        <f t="shared" si="9"/>
        <v>400</v>
      </c>
      <c r="H22" s="98"/>
      <c r="I22" s="87">
        <f t="shared" si="10"/>
        <v>67392</v>
      </c>
      <c r="J22" s="87">
        <f t="shared" si="11"/>
        <v>320</v>
      </c>
      <c r="K22" s="98"/>
      <c r="L22" s="87">
        <f t="shared" si="14"/>
        <v>67392</v>
      </c>
      <c r="M22" s="87">
        <f t="shared" si="15"/>
        <v>0</v>
      </c>
      <c r="N22" s="74">
        <f t="shared" si="0"/>
        <v>134784</v>
      </c>
    </row>
    <row r="23" spans="2:14" x14ac:dyDescent="0.3">
      <c r="B23" s="103" t="s">
        <v>31</v>
      </c>
      <c r="C23" s="87">
        <f>VLOOKUP(B23,Segregación!B:I,7,0)</f>
        <v>114048</v>
      </c>
      <c r="D23" s="87">
        <f>VLOOKUP(B23,Segregación!B:I,8,0)</f>
        <v>450</v>
      </c>
      <c r="E23" s="98"/>
      <c r="F23" s="87">
        <f t="shared" si="8"/>
        <v>41472</v>
      </c>
      <c r="G23" s="87">
        <f t="shared" si="9"/>
        <v>450</v>
      </c>
      <c r="H23" s="98"/>
      <c r="I23" s="87">
        <f t="shared" si="10"/>
        <v>41472</v>
      </c>
      <c r="J23" s="87">
        <f t="shared" si="11"/>
        <v>0</v>
      </c>
      <c r="K23" s="98"/>
      <c r="L23" s="87">
        <f t="shared" si="14"/>
        <v>31104</v>
      </c>
      <c r="M23" s="87">
        <f t="shared" si="15"/>
        <v>0</v>
      </c>
      <c r="N23" s="74">
        <f t="shared" si="0"/>
        <v>72576</v>
      </c>
    </row>
    <row r="24" spans="2:14" x14ac:dyDescent="0.3">
      <c r="B24" s="103" t="s">
        <v>32</v>
      </c>
      <c r="C24" s="87">
        <f>VLOOKUP(B24,Segregación!B:I,7,0)</f>
        <v>15552</v>
      </c>
      <c r="D24" s="87">
        <f>VLOOKUP(B24,Segregación!B:I,8,0)</f>
        <v>90</v>
      </c>
      <c r="E24" s="98"/>
      <c r="F24" s="87">
        <f t="shared" si="8"/>
        <v>15552</v>
      </c>
      <c r="G24" s="87">
        <f t="shared" si="9"/>
        <v>90</v>
      </c>
      <c r="H24" s="98"/>
      <c r="I24" s="87">
        <f t="shared" ref="I24:I30" si="16">C24-F24</f>
        <v>0</v>
      </c>
      <c r="J24" s="87">
        <f t="shared" si="11"/>
        <v>0</v>
      </c>
      <c r="K24" s="98"/>
      <c r="L24" s="87">
        <f t="shared" si="14"/>
        <v>0</v>
      </c>
      <c r="M24" s="87">
        <f t="shared" si="15"/>
        <v>0</v>
      </c>
      <c r="N24" s="74">
        <f t="shared" si="0"/>
        <v>0</v>
      </c>
    </row>
    <row r="25" spans="2:14" x14ac:dyDescent="0.3">
      <c r="B25" s="112" t="s">
        <v>33</v>
      </c>
      <c r="C25" s="87">
        <f>VLOOKUP(B25,Segregación!B:I,7,0)</f>
        <v>93312</v>
      </c>
      <c r="D25" s="87">
        <f>VLOOKUP(B25,Segregación!B:I,8,0)</f>
        <v>540</v>
      </c>
      <c r="E25" s="98"/>
      <c r="F25" s="87">
        <f t="shared" si="8"/>
        <v>31104</v>
      </c>
      <c r="G25" s="87">
        <f t="shared" si="9"/>
        <v>300</v>
      </c>
      <c r="H25" s="98"/>
      <c r="I25" s="87">
        <f t="shared" si="10"/>
        <v>31104</v>
      </c>
      <c r="J25" s="87">
        <f t="shared" si="11"/>
        <v>240</v>
      </c>
      <c r="K25" s="98"/>
      <c r="L25" s="87">
        <f t="shared" si="14"/>
        <v>31104</v>
      </c>
      <c r="M25" s="87">
        <f t="shared" si="15"/>
        <v>0</v>
      </c>
      <c r="N25" s="74">
        <f t="shared" si="0"/>
        <v>62208</v>
      </c>
    </row>
    <row r="26" spans="2:14" x14ac:dyDescent="0.3">
      <c r="B26" s="112" t="s">
        <v>34</v>
      </c>
      <c r="C26" s="87">
        <f>VLOOKUP(B26,Segregación!B:I,7,0)</f>
        <v>15552</v>
      </c>
      <c r="D26" s="87">
        <f>VLOOKUP(B26,Segregación!B:I,8,0)</f>
        <v>90</v>
      </c>
      <c r="E26" s="98"/>
      <c r="F26" s="87">
        <f t="shared" si="8"/>
        <v>15552</v>
      </c>
      <c r="G26" s="87">
        <f t="shared" si="9"/>
        <v>90</v>
      </c>
      <c r="H26" s="98"/>
      <c r="I26" s="87">
        <f t="shared" si="16"/>
        <v>0</v>
      </c>
      <c r="J26" s="87">
        <f t="shared" si="11"/>
        <v>0</v>
      </c>
      <c r="K26" s="98"/>
      <c r="L26" s="87">
        <f t="shared" si="14"/>
        <v>0</v>
      </c>
      <c r="M26" s="87">
        <f t="shared" si="15"/>
        <v>0</v>
      </c>
      <c r="N26" s="74">
        <f t="shared" si="0"/>
        <v>0</v>
      </c>
    </row>
    <row r="27" spans="2:14" x14ac:dyDescent="0.3">
      <c r="B27" s="112" t="s">
        <v>35</v>
      </c>
      <c r="C27" s="87">
        <f>VLOOKUP(B27,Segregación!B:I,7,0)</f>
        <v>20736</v>
      </c>
      <c r="D27" s="87">
        <f>VLOOKUP(B27,Segregación!B:I,8,0)</f>
        <v>90</v>
      </c>
      <c r="E27" s="98"/>
      <c r="F27" s="87">
        <f t="shared" si="8"/>
        <v>20736</v>
      </c>
      <c r="G27" s="87">
        <f t="shared" si="9"/>
        <v>90</v>
      </c>
      <c r="H27" s="98"/>
      <c r="I27" s="87">
        <f t="shared" si="16"/>
        <v>0</v>
      </c>
      <c r="J27" s="87">
        <f t="shared" si="11"/>
        <v>0</v>
      </c>
      <c r="K27" s="98"/>
      <c r="L27" s="87">
        <f t="shared" si="14"/>
        <v>0</v>
      </c>
      <c r="M27" s="87">
        <f t="shared" si="15"/>
        <v>0</v>
      </c>
      <c r="N27" s="74">
        <f t="shared" si="0"/>
        <v>0</v>
      </c>
    </row>
    <row r="28" spans="2:14" x14ac:dyDescent="0.3">
      <c r="B28" s="112" t="s">
        <v>36</v>
      </c>
      <c r="C28" s="87">
        <f>VLOOKUP(B28,Segregación!B:I,7,0)</f>
        <v>20736</v>
      </c>
      <c r="D28" s="87">
        <f>VLOOKUP(B28,Segregación!B:I,8,0)</f>
        <v>90</v>
      </c>
      <c r="E28" s="98"/>
      <c r="F28" s="87">
        <f t="shared" si="8"/>
        <v>20736</v>
      </c>
      <c r="G28" s="87">
        <f t="shared" si="9"/>
        <v>90</v>
      </c>
      <c r="H28" s="98"/>
      <c r="I28" s="87">
        <f t="shared" si="16"/>
        <v>0</v>
      </c>
      <c r="J28" s="87">
        <f t="shared" si="11"/>
        <v>0</v>
      </c>
      <c r="K28" s="98"/>
      <c r="L28" s="87">
        <f t="shared" si="14"/>
        <v>0</v>
      </c>
      <c r="M28" s="87">
        <f t="shared" si="15"/>
        <v>0</v>
      </c>
      <c r="N28" s="74">
        <f t="shared" si="0"/>
        <v>0</v>
      </c>
    </row>
    <row r="29" spans="2:14" x14ac:dyDescent="0.3">
      <c r="B29" s="112" t="s">
        <v>37</v>
      </c>
      <c r="C29" s="87">
        <f>VLOOKUP(B29,Segregación!B:I,7,0)</f>
        <v>20736</v>
      </c>
      <c r="D29" s="87">
        <f>VLOOKUP(B29,Segregación!B:I,8,0)</f>
        <v>90</v>
      </c>
      <c r="E29" s="98"/>
      <c r="F29" s="87">
        <f t="shared" si="8"/>
        <v>20736</v>
      </c>
      <c r="G29" s="87">
        <f t="shared" si="9"/>
        <v>90</v>
      </c>
      <c r="H29" s="98"/>
      <c r="I29" s="87">
        <f t="shared" si="16"/>
        <v>0</v>
      </c>
      <c r="J29" s="87">
        <f t="shared" si="11"/>
        <v>0</v>
      </c>
      <c r="K29" s="98"/>
      <c r="L29" s="87">
        <f t="shared" si="14"/>
        <v>0</v>
      </c>
      <c r="M29" s="87">
        <f t="shared" si="15"/>
        <v>0</v>
      </c>
      <c r="N29" s="74">
        <f t="shared" si="0"/>
        <v>0</v>
      </c>
    </row>
    <row r="30" spans="2:14" x14ac:dyDescent="0.3">
      <c r="B30" s="112" t="s">
        <v>38</v>
      </c>
      <c r="C30" s="87">
        <f>VLOOKUP(B30,Segregación!B:I,7,0)</f>
        <v>5184</v>
      </c>
      <c r="D30" s="87">
        <f>VLOOKUP(B30,Segregación!B:I,8,0)</f>
        <v>90</v>
      </c>
      <c r="E30" s="98"/>
      <c r="F30" s="87">
        <f t="shared" si="8"/>
        <v>5184</v>
      </c>
      <c r="G30" s="87">
        <f t="shared" si="9"/>
        <v>90</v>
      </c>
      <c r="H30" s="98"/>
      <c r="I30" s="87">
        <f t="shared" si="16"/>
        <v>0</v>
      </c>
      <c r="J30" s="87">
        <f t="shared" si="11"/>
        <v>0</v>
      </c>
      <c r="K30" s="98"/>
      <c r="L30" s="87">
        <f t="shared" si="14"/>
        <v>0</v>
      </c>
      <c r="M30" s="87">
        <f t="shared" si="15"/>
        <v>0</v>
      </c>
      <c r="N30" s="74">
        <f t="shared" si="0"/>
        <v>0</v>
      </c>
    </row>
    <row r="31" spans="2:14" x14ac:dyDescent="0.3">
      <c r="B31" s="78" t="s">
        <v>39</v>
      </c>
      <c r="C31" s="84">
        <f>SUM(C32:C41)</f>
        <v>601344</v>
      </c>
      <c r="D31" s="84">
        <f>SUM(D32:D41)</f>
        <v>2340</v>
      </c>
      <c r="E31" s="98"/>
      <c r="F31" s="84">
        <f>SUM(F32:F41)</f>
        <v>264384</v>
      </c>
      <c r="G31" s="84">
        <f>SUM(G32:G41)</f>
        <v>1860</v>
      </c>
      <c r="H31" s="98"/>
      <c r="I31" s="84">
        <f>SUM(I32:I41)</f>
        <v>196992</v>
      </c>
      <c r="J31" s="84">
        <f>SUM(J32:J41)</f>
        <v>480</v>
      </c>
      <c r="K31" s="98"/>
      <c r="L31" s="84">
        <f>SUM(L32:L41)</f>
        <v>139968</v>
      </c>
      <c r="M31" s="84">
        <f>SUM(M32:M41)</f>
        <v>0</v>
      </c>
      <c r="N31" s="74">
        <f t="shared" si="0"/>
        <v>336960</v>
      </c>
    </row>
    <row r="32" spans="2:14" x14ac:dyDescent="0.3">
      <c r="B32" s="103" t="s">
        <v>40</v>
      </c>
      <c r="C32" s="87">
        <f>VLOOKUP(B32,Segregación!B:I,7,0)</f>
        <v>93312</v>
      </c>
      <c r="D32" s="87">
        <f>VLOOKUP(B32,Segregación!B:I,8,0)</f>
        <v>90</v>
      </c>
      <c r="E32" s="98"/>
      <c r="F32" s="87">
        <f t="shared" si="8"/>
        <v>31104</v>
      </c>
      <c r="G32" s="87">
        <f t="shared" si="9"/>
        <v>90</v>
      </c>
      <c r="H32" s="98"/>
      <c r="I32" s="87">
        <f t="shared" si="10"/>
        <v>31104</v>
      </c>
      <c r="J32" s="87">
        <f t="shared" si="11"/>
        <v>0</v>
      </c>
      <c r="K32" s="98"/>
      <c r="L32" s="87">
        <f t="shared" ref="L32:L41" si="17">C32-F32-I32</f>
        <v>31104</v>
      </c>
      <c r="M32" s="87">
        <f t="shared" ref="M32:M41" si="18">D32-G32-J32</f>
        <v>0</v>
      </c>
      <c r="N32" s="74">
        <f t="shared" si="0"/>
        <v>62208</v>
      </c>
    </row>
    <row r="33" spans="2:14" x14ac:dyDescent="0.3">
      <c r="B33" s="103" t="s">
        <v>41</v>
      </c>
      <c r="C33" s="87">
        <f>VLOOKUP(B33,Segregación!B:I,7,0)</f>
        <v>88128</v>
      </c>
      <c r="D33" s="87">
        <f>VLOOKUP(B33,Segregación!B:I,8,0)</f>
        <v>270</v>
      </c>
      <c r="E33" s="98"/>
      <c r="F33" s="87">
        <f t="shared" si="8"/>
        <v>31104</v>
      </c>
      <c r="G33" s="87">
        <f t="shared" si="9"/>
        <v>270</v>
      </c>
      <c r="H33" s="98"/>
      <c r="I33" s="87">
        <f t="shared" si="10"/>
        <v>31104</v>
      </c>
      <c r="J33" s="87">
        <f t="shared" si="11"/>
        <v>0</v>
      </c>
      <c r="K33" s="98"/>
      <c r="L33" s="87">
        <f t="shared" si="17"/>
        <v>25920</v>
      </c>
      <c r="M33" s="87">
        <f t="shared" si="18"/>
        <v>0</v>
      </c>
      <c r="N33" s="74">
        <f t="shared" si="0"/>
        <v>57024</v>
      </c>
    </row>
    <row r="34" spans="2:14" x14ac:dyDescent="0.3">
      <c r="B34" s="103" t="s">
        <v>42</v>
      </c>
      <c r="C34" s="87">
        <f>VLOOKUP(B34,Segregación!B:I,7,0)</f>
        <v>181440</v>
      </c>
      <c r="D34" s="87">
        <f>VLOOKUP(B34,Segregación!B:I,8,0)</f>
        <v>540</v>
      </c>
      <c r="E34" s="98"/>
      <c r="F34" s="87">
        <f t="shared" si="8"/>
        <v>62208</v>
      </c>
      <c r="G34" s="87">
        <f t="shared" si="9"/>
        <v>300</v>
      </c>
      <c r="H34" s="98"/>
      <c r="I34" s="87">
        <f t="shared" si="10"/>
        <v>62208</v>
      </c>
      <c r="J34" s="87">
        <f t="shared" si="11"/>
        <v>240</v>
      </c>
      <c r="K34" s="98"/>
      <c r="L34" s="87">
        <f t="shared" si="17"/>
        <v>57024</v>
      </c>
      <c r="M34" s="87">
        <f t="shared" si="18"/>
        <v>0</v>
      </c>
      <c r="N34" s="74">
        <f t="shared" si="0"/>
        <v>119232</v>
      </c>
    </row>
    <row r="35" spans="2:14" x14ac:dyDescent="0.3">
      <c r="B35" s="103" t="s">
        <v>43</v>
      </c>
      <c r="C35" s="87">
        <f>VLOOKUP(B35,Segregación!B:I,7,0)</f>
        <v>98496</v>
      </c>
      <c r="D35" s="87">
        <f>VLOOKUP(B35,Segregación!B:I,8,0)</f>
        <v>540</v>
      </c>
      <c r="E35" s="98"/>
      <c r="F35" s="87">
        <f t="shared" si="8"/>
        <v>36288</v>
      </c>
      <c r="G35" s="87">
        <f t="shared" si="9"/>
        <v>300</v>
      </c>
      <c r="H35" s="98"/>
      <c r="I35" s="87">
        <f t="shared" si="10"/>
        <v>36288</v>
      </c>
      <c r="J35" s="87">
        <f t="shared" si="11"/>
        <v>240</v>
      </c>
      <c r="K35" s="98"/>
      <c r="L35" s="87">
        <f t="shared" si="17"/>
        <v>25920</v>
      </c>
      <c r="M35" s="87">
        <f t="shared" si="18"/>
        <v>0</v>
      </c>
      <c r="N35" s="74">
        <f t="shared" si="0"/>
        <v>62208</v>
      </c>
    </row>
    <row r="36" spans="2:14" x14ac:dyDescent="0.3">
      <c r="B36" s="112" t="s">
        <v>44</v>
      </c>
      <c r="C36" s="87">
        <f>VLOOKUP(B36,Segregación!B:I,7,0)</f>
        <v>20736</v>
      </c>
      <c r="D36" s="87">
        <f>VLOOKUP(B36,Segregación!B:I,8,0)</f>
        <v>180</v>
      </c>
      <c r="E36" s="98"/>
      <c r="F36" s="87">
        <f t="shared" si="8"/>
        <v>20736</v>
      </c>
      <c r="G36" s="87">
        <f t="shared" si="9"/>
        <v>180</v>
      </c>
      <c r="H36" s="98"/>
      <c r="I36" s="87">
        <f t="shared" ref="I36:I41" si="19">C36-F36</f>
        <v>0</v>
      </c>
      <c r="J36" s="87">
        <f t="shared" si="11"/>
        <v>0</v>
      </c>
      <c r="K36" s="98"/>
      <c r="L36" s="87">
        <f t="shared" si="17"/>
        <v>0</v>
      </c>
      <c r="M36" s="87">
        <f t="shared" si="18"/>
        <v>0</v>
      </c>
      <c r="N36" s="74">
        <f t="shared" si="0"/>
        <v>0</v>
      </c>
    </row>
    <row r="37" spans="2:14" x14ac:dyDescent="0.3">
      <c r="B37" s="112" t="s">
        <v>45</v>
      </c>
      <c r="C37" s="87">
        <f>VLOOKUP(B37,Segregación!B:I,7,0)</f>
        <v>41472</v>
      </c>
      <c r="D37" s="87">
        <f>VLOOKUP(B37,Segregación!B:I,8,0)</f>
        <v>270</v>
      </c>
      <c r="E37" s="98"/>
      <c r="F37" s="87">
        <f t="shared" si="8"/>
        <v>20736</v>
      </c>
      <c r="G37" s="87">
        <f t="shared" si="9"/>
        <v>270</v>
      </c>
      <c r="H37" s="98"/>
      <c r="I37" s="87">
        <f t="shared" si="19"/>
        <v>20736</v>
      </c>
      <c r="J37" s="87">
        <f t="shared" si="11"/>
        <v>0</v>
      </c>
      <c r="K37" s="98"/>
      <c r="L37" s="87">
        <f t="shared" si="17"/>
        <v>0</v>
      </c>
      <c r="M37" s="87">
        <f t="shared" si="18"/>
        <v>0</v>
      </c>
      <c r="N37" s="74">
        <f t="shared" si="0"/>
        <v>20736</v>
      </c>
    </row>
    <row r="38" spans="2:14" x14ac:dyDescent="0.3">
      <c r="B38" s="112" t="s">
        <v>46</v>
      </c>
      <c r="C38" s="87">
        <f>VLOOKUP(B38,Segregación!B:I,7,0)</f>
        <v>20736</v>
      </c>
      <c r="D38" s="87">
        <f>VLOOKUP(B38,Segregación!B:I,8,0)</f>
        <v>90</v>
      </c>
      <c r="E38" s="98"/>
      <c r="F38" s="87">
        <f t="shared" si="8"/>
        <v>20736</v>
      </c>
      <c r="G38" s="87">
        <f t="shared" si="9"/>
        <v>90</v>
      </c>
      <c r="H38" s="98"/>
      <c r="I38" s="87">
        <f t="shared" si="19"/>
        <v>0</v>
      </c>
      <c r="J38" s="87">
        <f t="shared" si="11"/>
        <v>0</v>
      </c>
      <c r="K38" s="98"/>
      <c r="L38" s="87">
        <f t="shared" si="17"/>
        <v>0</v>
      </c>
      <c r="M38" s="87">
        <f t="shared" si="18"/>
        <v>0</v>
      </c>
      <c r="N38" s="74">
        <f t="shared" si="0"/>
        <v>0</v>
      </c>
    </row>
    <row r="39" spans="2:14" x14ac:dyDescent="0.3">
      <c r="B39" s="112" t="s">
        <v>47</v>
      </c>
      <c r="C39" s="87">
        <f>VLOOKUP(B39,Segregación!B:I,7,0)</f>
        <v>31104</v>
      </c>
      <c r="D39" s="87">
        <f>VLOOKUP(B39,Segregación!B:I,8,0)</f>
        <v>180</v>
      </c>
      <c r="E39" s="98"/>
      <c r="F39" s="87">
        <f t="shared" si="8"/>
        <v>15552</v>
      </c>
      <c r="G39" s="87">
        <f t="shared" si="9"/>
        <v>180</v>
      </c>
      <c r="H39" s="98"/>
      <c r="I39" s="87">
        <f t="shared" si="10"/>
        <v>15552</v>
      </c>
      <c r="J39" s="87">
        <f t="shared" si="11"/>
        <v>0</v>
      </c>
      <c r="K39" s="98"/>
      <c r="L39" s="87">
        <f t="shared" si="17"/>
        <v>0</v>
      </c>
      <c r="M39" s="87">
        <f t="shared" si="18"/>
        <v>0</v>
      </c>
      <c r="N39" s="74">
        <f t="shared" si="0"/>
        <v>15552</v>
      </c>
    </row>
    <row r="40" spans="2:14" x14ac:dyDescent="0.3">
      <c r="B40" s="106" t="s">
        <v>48</v>
      </c>
      <c r="C40" s="87">
        <f>VLOOKUP(B40,Segregación!B:I,7,0)</f>
        <v>5184</v>
      </c>
      <c r="D40" s="87">
        <f>VLOOKUP(B40,Segregación!B:I,8,0)</f>
        <v>90</v>
      </c>
      <c r="E40" s="98"/>
      <c r="F40" s="87">
        <f t="shared" si="8"/>
        <v>5184</v>
      </c>
      <c r="G40" s="87">
        <f t="shared" si="9"/>
        <v>90</v>
      </c>
      <c r="H40" s="98"/>
      <c r="I40" s="87">
        <f t="shared" si="19"/>
        <v>0</v>
      </c>
      <c r="J40" s="87">
        <f t="shared" si="11"/>
        <v>0</v>
      </c>
      <c r="K40" s="98"/>
      <c r="L40" s="87">
        <f t="shared" si="17"/>
        <v>0</v>
      </c>
      <c r="M40" s="87">
        <f t="shared" si="18"/>
        <v>0</v>
      </c>
      <c r="N40" s="74">
        <f t="shared" si="0"/>
        <v>0</v>
      </c>
    </row>
    <row r="41" spans="2:14" x14ac:dyDescent="0.3">
      <c r="B41" s="113" t="s">
        <v>49</v>
      </c>
      <c r="C41" s="87">
        <f>VLOOKUP(B41,Segregación!B:I,7,0)</f>
        <v>20736</v>
      </c>
      <c r="D41" s="87">
        <f>VLOOKUP(B41,Segregación!B:I,8,0)</f>
        <v>90</v>
      </c>
      <c r="E41" s="98"/>
      <c r="F41" s="87">
        <f t="shared" si="8"/>
        <v>20736</v>
      </c>
      <c r="G41" s="87">
        <f t="shared" si="9"/>
        <v>90</v>
      </c>
      <c r="H41" s="98"/>
      <c r="I41" s="87">
        <f t="shared" si="19"/>
        <v>0</v>
      </c>
      <c r="J41" s="87">
        <f t="shared" si="11"/>
        <v>0</v>
      </c>
      <c r="K41" s="98"/>
      <c r="L41" s="87">
        <f t="shared" si="17"/>
        <v>0</v>
      </c>
      <c r="M41" s="87">
        <f t="shared" si="18"/>
        <v>0</v>
      </c>
      <c r="N41" s="74">
        <f t="shared" si="0"/>
        <v>0</v>
      </c>
    </row>
    <row r="42" spans="2:14" x14ac:dyDescent="0.3">
      <c r="B42" s="78" t="s">
        <v>50</v>
      </c>
      <c r="C42" s="84">
        <f>SUM(C43:C47)</f>
        <v>585792</v>
      </c>
      <c r="D42" s="84">
        <f>SUM(D43:D47)</f>
        <v>2610</v>
      </c>
      <c r="E42" s="98"/>
      <c r="F42" s="84">
        <f>SUM(F43:F47)</f>
        <v>222912</v>
      </c>
      <c r="G42" s="84">
        <f>SUM(G43:G47)</f>
        <v>1690</v>
      </c>
      <c r="H42" s="98"/>
      <c r="I42" s="84">
        <f>SUM(I43:I47)</f>
        <v>222912</v>
      </c>
      <c r="J42" s="84">
        <f>SUM(J43:J47)</f>
        <v>920</v>
      </c>
      <c r="K42" s="98"/>
      <c r="L42" s="84">
        <f>SUM(L43:L47)</f>
        <v>139968</v>
      </c>
      <c r="M42" s="84">
        <f>SUM(M43:M47)</f>
        <v>0</v>
      </c>
      <c r="N42" s="74">
        <f t="shared" si="0"/>
        <v>362880</v>
      </c>
    </row>
    <row r="43" spans="2:14" x14ac:dyDescent="0.3">
      <c r="B43" s="103" t="s">
        <v>51</v>
      </c>
      <c r="C43" s="87">
        <f>VLOOKUP(B43,Segregación!B:I,7,0)</f>
        <v>181440</v>
      </c>
      <c r="D43" s="87">
        <f>VLOOKUP(B43,Segregación!B:I,8,0)</f>
        <v>630</v>
      </c>
      <c r="E43" s="98"/>
      <c r="F43" s="87">
        <f t="shared" si="8"/>
        <v>62208</v>
      </c>
      <c r="G43" s="87">
        <f t="shared" si="9"/>
        <v>350</v>
      </c>
      <c r="H43" s="98"/>
      <c r="I43" s="87">
        <f t="shared" si="10"/>
        <v>62208</v>
      </c>
      <c r="J43" s="87">
        <f t="shared" si="11"/>
        <v>280</v>
      </c>
      <c r="K43" s="98"/>
      <c r="L43" s="87">
        <f t="shared" ref="L43:L52" si="20">C43-F43-I43</f>
        <v>57024</v>
      </c>
      <c r="M43" s="87">
        <f t="shared" ref="M43:M52" si="21">D43-G43-J43</f>
        <v>0</v>
      </c>
      <c r="N43" s="74">
        <f t="shared" si="0"/>
        <v>119232</v>
      </c>
    </row>
    <row r="44" spans="2:14" x14ac:dyDescent="0.3">
      <c r="B44" s="103" t="s">
        <v>52</v>
      </c>
      <c r="C44" s="87">
        <f>VLOOKUP(B44,Segregación!B:I,7,0)</f>
        <v>155520</v>
      </c>
      <c r="D44" s="87">
        <f>VLOOKUP(B44,Segregación!B:I,8,0)</f>
        <v>810</v>
      </c>
      <c r="E44" s="98"/>
      <c r="F44" s="87">
        <f t="shared" si="8"/>
        <v>51840</v>
      </c>
      <c r="G44" s="87">
        <f t="shared" si="9"/>
        <v>450</v>
      </c>
      <c r="H44" s="98"/>
      <c r="I44" s="87">
        <f t="shared" si="10"/>
        <v>51840</v>
      </c>
      <c r="J44" s="87">
        <f t="shared" si="11"/>
        <v>360</v>
      </c>
      <c r="K44" s="98"/>
      <c r="L44" s="87">
        <f t="shared" si="20"/>
        <v>51840</v>
      </c>
      <c r="M44" s="87">
        <f t="shared" si="21"/>
        <v>0</v>
      </c>
      <c r="N44" s="74">
        <f t="shared" si="0"/>
        <v>103680</v>
      </c>
    </row>
    <row r="45" spans="2:14" x14ac:dyDescent="0.3">
      <c r="B45" s="103" t="s">
        <v>53</v>
      </c>
      <c r="C45" s="87">
        <f>VLOOKUP(B45,Segregación!B:I,7,0)</f>
        <v>134784</v>
      </c>
      <c r="D45" s="87">
        <f>VLOOKUP(B45,Segregación!B:I,8,0)</f>
        <v>630</v>
      </c>
      <c r="E45" s="98"/>
      <c r="F45" s="87">
        <f t="shared" si="8"/>
        <v>46656</v>
      </c>
      <c r="G45" s="87">
        <f t="shared" si="9"/>
        <v>350</v>
      </c>
      <c r="H45" s="98"/>
      <c r="I45" s="87">
        <f t="shared" si="10"/>
        <v>46656</v>
      </c>
      <c r="J45" s="87">
        <f t="shared" si="11"/>
        <v>280</v>
      </c>
      <c r="K45" s="98"/>
      <c r="L45" s="87">
        <f t="shared" si="20"/>
        <v>41472</v>
      </c>
      <c r="M45" s="87">
        <f t="shared" si="21"/>
        <v>0</v>
      </c>
      <c r="N45" s="74">
        <f t="shared" si="0"/>
        <v>88128</v>
      </c>
    </row>
    <row r="46" spans="2:14" x14ac:dyDescent="0.3">
      <c r="B46" s="114" t="s">
        <v>54</v>
      </c>
      <c r="C46" s="87">
        <f>VLOOKUP(B46,Segregación!B:I,7,0)</f>
        <v>57024</v>
      </c>
      <c r="D46" s="87">
        <f>VLOOKUP(B46,Segregación!B:I,8,0)</f>
        <v>270</v>
      </c>
      <c r="E46" s="98"/>
      <c r="F46" s="87">
        <f t="shared" si="8"/>
        <v>31104</v>
      </c>
      <c r="G46" s="87">
        <f t="shared" si="9"/>
        <v>270</v>
      </c>
      <c r="H46" s="98"/>
      <c r="I46" s="87">
        <f t="shared" si="10"/>
        <v>31104</v>
      </c>
      <c r="J46" s="87">
        <f t="shared" si="11"/>
        <v>0</v>
      </c>
      <c r="K46" s="98"/>
      <c r="L46" s="87">
        <f t="shared" si="20"/>
        <v>-5184</v>
      </c>
      <c r="M46" s="87">
        <f t="shared" si="21"/>
        <v>0</v>
      </c>
      <c r="N46" s="74">
        <f t="shared" si="0"/>
        <v>25920</v>
      </c>
    </row>
    <row r="47" spans="2:14" x14ac:dyDescent="0.3">
      <c r="B47" s="114" t="s">
        <v>55</v>
      </c>
      <c r="C47" s="87">
        <f>VLOOKUP(B47,Segregación!B:I,7,0)</f>
        <v>57024</v>
      </c>
      <c r="D47" s="87">
        <f>VLOOKUP(B47,Segregación!B:I,8,0)</f>
        <v>270</v>
      </c>
      <c r="E47" s="98"/>
      <c r="F47" s="87">
        <f t="shared" si="8"/>
        <v>31104</v>
      </c>
      <c r="G47" s="87">
        <f t="shared" si="9"/>
        <v>270</v>
      </c>
      <c r="H47" s="98"/>
      <c r="I47" s="87">
        <f t="shared" si="10"/>
        <v>31104</v>
      </c>
      <c r="J47" s="87">
        <f t="shared" si="11"/>
        <v>0</v>
      </c>
      <c r="K47" s="98"/>
      <c r="L47" s="87">
        <f t="shared" si="20"/>
        <v>-5184</v>
      </c>
      <c r="M47" s="87">
        <f t="shared" si="21"/>
        <v>0</v>
      </c>
      <c r="N47" s="74">
        <f t="shared" si="0"/>
        <v>25920</v>
      </c>
    </row>
    <row r="48" spans="2:14" x14ac:dyDescent="0.3">
      <c r="B48" s="78" t="s">
        <v>56</v>
      </c>
      <c r="C48" s="84">
        <f>SUM(C49:C52)</f>
        <v>191808</v>
      </c>
      <c r="D48" s="84">
        <f>SUM(D49:D52)</f>
        <v>810</v>
      </c>
      <c r="E48" s="98"/>
      <c r="F48" s="84">
        <f>SUM(F49:F52)</f>
        <v>88128</v>
      </c>
      <c r="G48" s="84">
        <f>SUM(G49:G52)</f>
        <v>810</v>
      </c>
      <c r="H48" s="98"/>
      <c r="I48" s="84">
        <f>SUM(I49:I52)</f>
        <v>88128</v>
      </c>
      <c r="J48" s="84">
        <f>SUM(J49:J52)</f>
        <v>0</v>
      </c>
      <c r="K48" s="98"/>
      <c r="L48" s="129">
        <f t="shared" si="20"/>
        <v>15552</v>
      </c>
      <c r="M48" s="129">
        <f t="shared" si="21"/>
        <v>0</v>
      </c>
      <c r="N48" s="74">
        <f t="shared" si="0"/>
        <v>103680</v>
      </c>
    </row>
    <row r="49" spans="2:14" x14ac:dyDescent="0.3">
      <c r="B49" s="103" t="s">
        <v>57</v>
      </c>
      <c r="C49" s="87">
        <f>VLOOKUP(B49,Segregación!B:I,7,0)</f>
        <v>31104</v>
      </c>
      <c r="D49" s="87">
        <f>VLOOKUP(B49,Segregación!B:I,8,0)</f>
        <v>90</v>
      </c>
      <c r="E49" s="98"/>
      <c r="F49" s="87">
        <f t="shared" si="8"/>
        <v>15552</v>
      </c>
      <c r="G49" s="87">
        <f t="shared" si="9"/>
        <v>90</v>
      </c>
      <c r="H49" s="98"/>
      <c r="I49" s="87">
        <f t="shared" ref="I49:I51" si="22">C49-F49</f>
        <v>15552</v>
      </c>
      <c r="J49" s="87">
        <f t="shared" si="11"/>
        <v>0</v>
      </c>
      <c r="K49" s="98"/>
      <c r="L49" s="87">
        <f t="shared" si="20"/>
        <v>0</v>
      </c>
      <c r="M49" s="87">
        <f t="shared" si="21"/>
        <v>0</v>
      </c>
      <c r="N49" s="74">
        <f t="shared" si="0"/>
        <v>15552</v>
      </c>
    </row>
    <row r="50" spans="2:14" x14ac:dyDescent="0.3">
      <c r="B50" s="103" t="s">
        <v>58</v>
      </c>
      <c r="C50" s="87">
        <f>VLOOKUP(B50,Segregación!B:I,7,0)</f>
        <v>82944</v>
      </c>
      <c r="D50" s="87">
        <f>VLOOKUP(B50,Segregación!B:I,8,0)</f>
        <v>450</v>
      </c>
      <c r="E50" s="98"/>
      <c r="F50" s="87">
        <f t="shared" si="8"/>
        <v>31104</v>
      </c>
      <c r="G50" s="87">
        <f t="shared" si="9"/>
        <v>450</v>
      </c>
      <c r="H50" s="98"/>
      <c r="I50" s="87">
        <f t="shared" si="10"/>
        <v>31104</v>
      </c>
      <c r="J50" s="87">
        <f t="shared" si="11"/>
        <v>0</v>
      </c>
      <c r="K50" s="98"/>
      <c r="L50" s="87">
        <f t="shared" si="20"/>
        <v>20736</v>
      </c>
      <c r="M50" s="87">
        <f t="shared" si="21"/>
        <v>0</v>
      </c>
      <c r="N50" s="74">
        <f t="shared" si="0"/>
        <v>51840</v>
      </c>
    </row>
    <row r="51" spans="2:14" x14ac:dyDescent="0.3">
      <c r="B51" s="113" t="s">
        <v>59</v>
      </c>
      <c r="C51" s="87">
        <f>VLOOKUP(B51,Segregación!B:I,7,0)</f>
        <v>31104</v>
      </c>
      <c r="D51" s="87">
        <f>VLOOKUP(B51,Segregación!B:I,8,0)</f>
        <v>90</v>
      </c>
      <c r="E51" s="98"/>
      <c r="F51" s="87">
        <f t="shared" si="8"/>
        <v>15552</v>
      </c>
      <c r="G51" s="87">
        <f t="shared" si="9"/>
        <v>90</v>
      </c>
      <c r="H51" s="98"/>
      <c r="I51" s="87">
        <f t="shared" si="22"/>
        <v>15552</v>
      </c>
      <c r="J51" s="87">
        <f t="shared" si="11"/>
        <v>0</v>
      </c>
      <c r="K51" s="98"/>
      <c r="L51" s="87">
        <f t="shared" si="20"/>
        <v>0</v>
      </c>
      <c r="M51" s="87">
        <f t="shared" si="21"/>
        <v>0</v>
      </c>
      <c r="N51" s="74">
        <f t="shared" si="0"/>
        <v>15552</v>
      </c>
    </row>
    <row r="52" spans="2:14" x14ac:dyDescent="0.3">
      <c r="B52" s="114" t="s">
        <v>60</v>
      </c>
      <c r="C52" s="87">
        <f>VLOOKUP(B52,Segregación!B:I,7,0)</f>
        <v>46656</v>
      </c>
      <c r="D52" s="87">
        <f>VLOOKUP(B52,Segregación!B:I,8,0)</f>
        <v>180</v>
      </c>
      <c r="E52" s="98"/>
      <c r="F52" s="87">
        <f t="shared" si="8"/>
        <v>25920</v>
      </c>
      <c r="G52" s="87">
        <f t="shared" si="9"/>
        <v>180</v>
      </c>
      <c r="H52" s="98"/>
      <c r="I52" s="87">
        <f t="shared" si="10"/>
        <v>25920</v>
      </c>
      <c r="J52" s="87">
        <f t="shared" si="11"/>
        <v>0</v>
      </c>
      <c r="K52" s="98"/>
      <c r="L52" s="87">
        <f t="shared" si="20"/>
        <v>-5184</v>
      </c>
      <c r="M52" s="87">
        <f t="shared" si="21"/>
        <v>0</v>
      </c>
      <c r="N52" s="74">
        <f t="shared" si="0"/>
        <v>20736</v>
      </c>
    </row>
    <row r="53" spans="2:14" x14ac:dyDescent="0.3">
      <c r="B53" s="96" t="s">
        <v>61</v>
      </c>
      <c r="C53" s="97">
        <f>C48+C42+C31+C17+C10</f>
        <v>2846016</v>
      </c>
      <c r="D53" s="97">
        <f>D48+D42+D31+D17+D10</f>
        <v>10980</v>
      </c>
      <c r="E53" s="98"/>
      <c r="F53" s="97">
        <f>F48+F42+F31+F17+F10</f>
        <v>1197504</v>
      </c>
      <c r="G53" s="97">
        <f>G48+G42+G31+G17+G10</f>
        <v>8460</v>
      </c>
      <c r="H53" s="98"/>
      <c r="I53" s="97">
        <f>I48+I42+I31+I17+I10</f>
        <v>1016064</v>
      </c>
      <c r="J53" s="97">
        <f>J48+J42+J31+J17+J10</f>
        <v>2520</v>
      </c>
      <c r="K53" s="98"/>
      <c r="L53" s="97">
        <f>L48+L42+L31+L17+L10</f>
        <v>632448</v>
      </c>
      <c r="M53" s="97">
        <f>M48+M42+M31+M17+M10</f>
        <v>0</v>
      </c>
      <c r="N53" s="74">
        <f t="shared" si="0"/>
        <v>1648512</v>
      </c>
    </row>
    <row r="54" spans="2:14" x14ac:dyDescent="0.3">
      <c r="B54" s="81" t="s">
        <v>62</v>
      </c>
      <c r="C54" s="83" t="e">
        <f>CEILING('Distribución de Presupuesto VIH'!C46/'Distribución de Presupuesto VIH'!C$74*C$6,H$3)</f>
        <v>#REF!</v>
      </c>
      <c r="D54" s="83" t="e">
        <f>CEILING('Distribución de Presupuesto VIH'!D46/'Distribución de Presupuesto VIH'!D$74*D$6,I$2)</f>
        <v>#REF!</v>
      </c>
      <c r="E54" s="98"/>
      <c r="F54" s="87" t="e">
        <f t="shared" si="8"/>
        <v>#REF!</v>
      </c>
      <c r="G54" s="87" t="e">
        <f t="shared" si="9"/>
        <v>#REF!</v>
      </c>
      <c r="H54" s="98"/>
      <c r="I54" s="87" t="e">
        <f t="shared" si="10"/>
        <v>#REF!</v>
      </c>
      <c r="J54" s="87" t="e">
        <f t="shared" si="11"/>
        <v>#REF!</v>
      </c>
      <c r="K54" s="98"/>
      <c r="L54" s="87" t="e">
        <f t="shared" ref="L54:L73" si="23">C54-F54-I54</f>
        <v>#REF!</v>
      </c>
      <c r="M54" s="87" t="e">
        <f t="shared" ref="M54:M73" si="24">D54-G54-J54</f>
        <v>#REF!</v>
      </c>
      <c r="N54" s="98"/>
    </row>
    <row r="55" spans="2:14" x14ac:dyDescent="0.3">
      <c r="B55" s="81" t="s">
        <v>63</v>
      </c>
      <c r="C55" s="83" t="e">
        <f>CEILING('Distribución de Presupuesto VIH'!C47/'Distribución de Presupuesto VIH'!C$74*C$6,H$3)</f>
        <v>#REF!</v>
      </c>
      <c r="D55" s="83" t="e">
        <f>CEILING('Distribución de Presupuesto VIH'!D47/'Distribución de Presupuesto VIH'!D$74*D$6,I$2)</f>
        <v>#REF!</v>
      </c>
      <c r="E55" s="98"/>
      <c r="F55" s="87" t="e">
        <f t="shared" si="8"/>
        <v>#REF!</v>
      </c>
      <c r="G55" s="87" t="e">
        <f t="shared" si="9"/>
        <v>#REF!</v>
      </c>
      <c r="H55" s="98"/>
      <c r="I55" s="87" t="e">
        <f t="shared" si="10"/>
        <v>#REF!</v>
      </c>
      <c r="J55" s="87" t="e">
        <f t="shared" si="11"/>
        <v>#REF!</v>
      </c>
      <c r="K55" s="98"/>
      <c r="L55" s="87" t="e">
        <f t="shared" si="23"/>
        <v>#REF!</v>
      </c>
      <c r="M55" s="87" t="e">
        <f t="shared" si="24"/>
        <v>#REF!</v>
      </c>
      <c r="N55" s="98"/>
    </row>
    <row r="56" spans="2:14" x14ac:dyDescent="0.3">
      <c r="B56" s="81" t="s">
        <v>64</v>
      </c>
      <c r="C56" s="83" t="e">
        <f>CEILING('Distribución de Presupuesto VIH'!C48/'Distribución de Presupuesto VIH'!C$74*C$6,H$3)</f>
        <v>#REF!</v>
      </c>
      <c r="D56" s="83" t="e">
        <f>CEILING('Distribución de Presupuesto VIH'!D48/'Distribución de Presupuesto VIH'!D$74*D$6,I$2)</f>
        <v>#REF!</v>
      </c>
      <c r="E56" s="98"/>
      <c r="F56" s="87" t="e">
        <f t="shared" si="8"/>
        <v>#REF!</v>
      </c>
      <c r="G56" s="87" t="e">
        <f t="shared" si="9"/>
        <v>#REF!</v>
      </c>
      <c r="H56" s="98"/>
      <c r="I56" s="87" t="e">
        <f t="shared" si="10"/>
        <v>#REF!</v>
      </c>
      <c r="J56" s="87" t="e">
        <f t="shared" si="11"/>
        <v>#REF!</v>
      </c>
      <c r="K56" s="98"/>
      <c r="L56" s="87" t="e">
        <f t="shared" si="23"/>
        <v>#REF!</v>
      </c>
      <c r="M56" s="87" t="e">
        <f t="shared" si="24"/>
        <v>#REF!</v>
      </c>
      <c r="N56" s="98"/>
    </row>
    <row r="57" spans="2:14" x14ac:dyDescent="0.3">
      <c r="B57" s="81" t="s">
        <v>65</v>
      </c>
      <c r="C57" s="83" t="e">
        <f>CEILING('Distribución de Presupuesto VIH'!C49/'Distribución de Presupuesto VIH'!C$74*C$6,H$3)</f>
        <v>#REF!</v>
      </c>
      <c r="D57" s="83" t="e">
        <f>CEILING('Distribución de Presupuesto VIH'!D49/'Distribución de Presupuesto VIH'!D$74*D$6,I$2)</f>
        <v>#REF!</v>
      </c>
      <c r="E57" s="98"/>
      <c r="F57" s="87" t="e">
        <f t="shared" si="8"/>
        <v>#REF!</v>
      </c>
      <c r="G57" s="87" t="e">
        <f t="shared" si="9"/>
        <v>#REF!</v>
      </c>
      <c r="H57" s="98"/>
      <c r="I57" s="87" t="e">
        <f t="shared" si="10"/>
        <v>#REF!</v>
      </c>
      <c r="J57" s="87" t="e">
        <f t="shared" si="11"/>
        <v>#REF!</v>
      </c>
      <c r="K57" s="98"/>
      <c r="L57" s="87" t="e">
        <f t="shared" si="23"/>
        <v>#REF!</v>
      </c>
      <c r="M57" s="87" t="e">
        <f t="shared" si="24"/>
        <v>#REF!</v>
      </c>
      <c r="N57" s="98"/>
    </row>
    <row r="58" spans="2:14" x14ac:dyDescent="0.3">
      <c r="B58" s="81" t="s">
        <v>66</v>
      </c>
      <c r="C58" s="83" t="e">
        <f>CEILING('Distribución de Presupuesto VIH'!C50/'Distribución de Presupuesto VIH'!C$74*C$6,H$3)</f>
        <v>#REF!</v>
      </c>
      <c r="D58" s="83" t="e">
        <f>CEILING('Distribución de Presupuesto VIH'!D50/'Distribución de Presupuesto VIH'!D$74*D$6,I$2)</f>
        <v>#REF!</v>
      </c>
      <c r="E58" s="98"/>
      <c r="F58" s="87" t="e">
        <f t="shared" si="8"/>
        <v>#REF!</v>
      </c>
      <c r="G58" s="87" t="e">
        <f t="shared" si="9"/>
        <v>#REF!</v>
      </c>
      <c r="H58" s="98"/>
      <c r="I58" s="87" t="e">
        <f t="shared" si="10"/>
        <v>#REF!</v>
      </c>
      <c r="J58" s="87" t="e">
        <f t="shared" si="11"/>
        <v>#REF!</v>
      </c>
      <c r="K58" s="98"/>
      <c r="L58" s="87" t="e">
        <f t="shared" si="23"/>
        <v>#REF!</v>
      </c>
      <c r="M58" s="87" t="e">
        <f t="shared" si="24"/>
        <v>#REF!</v>
      </c>
      <c r="N58" s="98"/>
    </row>
    <row r="59" spans="2:14" x14ac:dyDescent="0.3">
      <c r="B59" s="81" t="s">
        <v>67</v>
      </c>
      <c r="C59" s="83" t="e">
        <f>CEILING('Distribución de Presupuesto VIH'!C51/'Distribución de Presupuesto VIH'!C$74*C$6,H$3)</f>
        <v>#REF!</v>
      </c>
      <c r="D59" s="83" t="e">
        <f>CEILING('Distribución de Presupuesto VIH'!D51/'Distribución de Presupuesto VIH'!D$74*D$6,I$2)</f>
        <v>#REF!</v>
      </c>
      <c r="E59" s="98"/>
      <c r="F59" s="87" t="e">
        <f t="shared" si="8"/>
        <v>#REF!</v>
      </c>
      <c r="G59" s="87" t="e">
        <f t="shared" si="9"/>
        <v>#REF!</v>
      </c>
      <c r="H59" s="98"/>
      <c r="I59" s="87" t="e">
        <f t="shared" si="10"/>
        <v>#REF!</v>
      </c>
      <c r="J59" s="87" t="e">
        <f t="shared" si="11"/>
        <v>#REF!</v>
      </c>
      <c r="K59" s="98"/>
      <c r="L59" s="87" t="e">
        <f t="shared" si="23"/>
        <v>#REF!</v>
      </c>
      <c r="M59" s="87" t="e">
        <f t="shared" si="24"/>
        <v>#REF!</v>
      </c>
      <c r="N59" s="98"/>
    </row>
    <row r="60" spans="2:14" x14ac:dyDescent="0.3">
      <c r="B60" s="81" t="s">
        <v>68</v>
      </c>
      <c r="C60" s="83" t="e">
        <f>CEILING('Distribución de Presupuesto VIH'!C52/'Distribución de Presupuesto VIH'!C$74*C$6,H$3)</f>
        <v>#REF!</v>
      </c>
      <c r="D60" s="83" t="e">
        <f>CEILING('Distribución de Presupuesto VIH'!D52/'Distribución de Presupuesto VIH'!D$74*D$6,I$2)</f>
        <v>#REF!</v>
      </c>
      <c r="E60" s="98"/>
      <c r="F60" s="87" t="e">
        <f t="shared" si="8"/>
        <v>#REF!</v>
      </c>
      <c r="G60" s="87" t="e">
        <f t="shared" si="9"/>
        <v>#REF!</v>
      </c>
      <c r="H60" s="98"/>
      <c r="I60" s="87" t="e">
        <f t="shared" si="10"/>
        <v>#REF!</v>
      </c>
      <c r="J60" s="87" t="e">
        <f t="shared" si="11"/>
        <v>#REF!</v>
      </c>
      <c r="K60" s="98"/>
      <c r="L60" s="87" t="e">
        <f t="shared" si="23"/>
        <v>#REF!</v>
      </c>
      <c r="M60" s="87" t="e">
        <f t="shared" si="24"/>
        <v>#REF!</v>
      </c>
      <c r="N60" s="98"/>
    </row>
    <row r="61" spans="2:14" x14ac:dyDescent="0.3">
      <c r="B61" s="81" t="s">
        <v>69</v>
      </c>
      <c r="C61" s="83" t="e">
        <f>CEILING('Distribución de Presupuesto VIH'!C53/'Distribución de Presupuesto VIH'!C$74*C$6,H$3)</f>
        <v>#REF!</v>
      </c>
      <c r="D61" s="83" t="e">
        <f>CEILING('Distribución de Presupuesto VIH'!D53/'Distribución de Presupuesto VIH'!D$74*D$6,I$2)</f>
        <v>#REF!</v>
      </c>
      <c r="E61" s="98"/>
      <c r="F61" s="87" t="e">
        <f t="shared" si="8"/>
        <v>#REF!</v>
      </c>
      <c r="G61" s="87" t="e">
        <f t="shared" si="9"/>
        <v>#REF!</v>
      </c>
      <c r="H61" s="98"/>
      <c r="I61" s="87" t="e">
        <f t="shared" si="10"/>
        <v>#REF!</v>
      </c>
      <c r="J61" s="87" t="e">
        <f t="shared" si="11"/>
        <v>#REF!</v>
      </c>
      <c r="K61" s="98"/>
      <c r="L61" s="87" t="e">
        <f t="shared" si="23"/>
        <v>#REF!</v>
      </c>
      <c r="M61" s="87" t="e">
        <f t="shared" si="24"/>
        <v>#REF!</v>
      </c>
      <c r="N61" s="98"/>
    </row>
    <row r="62" spans="2:14" x14ac:dyDescent="0.3">
      <c r="B62" s="81" t="s">
        <v>70</v>
      </c>
      <c r="C62" s="83" t="e">
        <f>CEILING('Distribución de Presupuesto VIH'!C54/'Distribución de Presupuesto VIH'!C$74*C$6,H$3)</f>
        <v>#REF!</v>
      </c>
      <c r="D62" s="83" t="e">
        <f>CEILING('Distribución de Presupuesto VIH'!D54/'Distribución de Presupuesto VIH'!D$74*D$6,I$2)</f>
        <v>#REF!</v>
      </c>
      <c r="E62" s="98"/>
      <c r="F62" s="87" t="e">
        <f t="shared" si="8"/>
        <v>#REF!</v>
      </c>
      <c r="G62" s="87" t="e">
        <f t="shared" si="9"/>
        <v>#REF!</v>
      </c>
      <c r="H62" s="98"/>
      <c r="I62" s="87" t="e">
        <f t="shared" si="10"/>
        <v>#REF!</v>
      </c>
      <c r="J62" s="87" t="e">
        <f t="shared" si="11"/>
        <v>#REF!</v>
      </c>
      <c r="K62" s="98"/>
      <c r="L62" s="87" t="e">
        <f t="shared" si="23"/>
        <v>#REF!</v>
      </c>
      <c r="M62" s="87" t="e">
        <f t="shared" si="24"/>
        <v>#REF!</v>
      </c>
      <c r="N62" s="98"/>
    </row>
    <row r="63" spans="2:14" x14ac:dyDescent="0.3">
      <c r="B63" s="81" t="s">
        <v>71</v>
      </c>
      <c r="C63" s="83" t="e">
        <f>CEILING('Distribución de Presupuesto VIH'!C55/'Distribución de Presupuesto VIH'!C$74*C$6,H$3)</f>
        <v>#REF!</v>
      </c>
      <c r="D63" s="83" t="e">
        <f>CEILING('Distribución de Presupuesto VIH'!D55/'Distribución de Presupuesto VIH'!D$74*D$6,I$2)</f>
        <v>#REF!</v>
      </c>
      <c r="E63" s="98"/>
      <c r="F63" s="87" t="e">
        <f t="shared" si="8"/>
        <v>#REF!</v>
      </c>
      <c r="G63" s="87" t="e">
        <f t="shared" si="9"/>
        <v>#REF!</v>
      </c>
      <c r="H63" s="98"/>
      <c r="I63" s="87" t="e">
        <f t="shared" si="10"/>
        <v>#REF!</v>
      </c>
      <c r="J63" s="87" t="e">
        <f t="shared" si="11"/>
        <v>#REF!</v>
      </c>
      <c r="K63" s="98"/>
      <c r="L63" s="87" t="e">
        <f t="shared" si="23"/>
        <v>#REF!</v>
      </c>
      <c r="M63" s="87" t="e">
        <f t="shared" si="24"/>
        <v>#REF!</v>
      </c>
      <c r="N63" s="98"/>
    </row>
    <row r="64" spans="2:14" x14ac:dyDescent="0.3">
      <c r="B64" s="81" t="s">
        <v>72</v>
      </c>
      <c r="C64" s="83" t="e">
        <f>CEILING('Distribución de Presupuesto VIH'!C56/'Distribución de Presupuesto VIH'!C$74*C$6,H$3)</f>
        <v>#REF!</v>
      </c>
      <c r="D64" s="83" t="e">
        <f>CEILING('Distribución de Presupuesto VIH'!D56/'Distribución de Presupuesto VIH'!D$74*D$6,I$2)</f>
        <v>#REF!</v>
      </c>
      <c r="E64" s="98"/>
      <c r="F64" s="87" t="e">
        <f t="shared" si="8"/>
        <v>#REF!</v>
      </c>
      <c r="G64" s="87" t="e">
        <f t="shared" si="9"/>
        <v>#REF!</v>
      </c>
      <c r="H64" s="98"/>
      <c r="I64" s="87" t="e">
        <f t="shared" ref="I64:I66" si="25">C64-F64</f>
        <v>#REF!</v>
      </c>
      <c r="J64" s="87" t="e">
        <f t="shared" si="11"/>
        <v>#REF!</v>
      </c>
      <c r="K64" s="98"/>
      <c r="L64" s="87" t="e">
        <f t="shared" si="23"/>
        <v>#REF!</v>
      </c>
      <c r="M64" s="87" t="e">
        <f t="shared" si="24"/>
        <v>#REF!</v>
      </c>
      <c r="N64" s="98"/>
    </row>
    <row r="65" spans="2:14" x14ac:dyDescent="0.3">
      <c r="B65" s="81" t="s">
        <v>73</v>
      </c>
      <c r="C65" s="83" t="e">
        <f>CEILING('Distribución de Presupuesto VIH'!C57/'Distribución de Presupuesto VIH'!C$74*C$6,H$3)</f>
        <v>#REF!</v>
      </c>
      <c r="D65" s="83" t="e">
        <f>CEILING('Distribución de Presupuesto VIH'!D57/'Distribución de Presupuesto VIH'!D$74*D$6,I$2)</f>
        <v>#REF!</v>
      </c>
      <c r="E65" s="98"/>
      <c r="F65" s="87" t="e">
        <f t="shared" si="8"/>
        <v>#REF!</v>
      </c>
      <c r="G65" s="87" t="e">
        <f t="shared" si="9"/>
        <v>#REF!</v>
      </c>
      <c r="H65" s="98"/>
      <c r="I65" s="87" t="e">
        <f t="shared" si="10"/>
        <v>#REF!</v>
      </c>
      <c r="J65" s="87" t="e">
        <f t="shared" si="11"/>
        <v>#REF!</v>
      </c>
      <c r="K65" s="98"/>
      <c r="L65" s="87" t="e">
        <f t="shared" si="23"/>
        <v>#REF!</v>
      </c>
      <c r="M65" s="87" t="e">
        <f t="shared" si="24"/>
        <v>#REF!</v>
      </c>
      <c r="N65" s="98"/>
    </row>
    <row r="66" spans="2:14" x14ac:dyDescent="0.3">
      <c r="B66" s="81" t="s">
        <v>74</v>
      </c>
      <c r="C66" s="83" t="e">
        <f>CEILING('Distribución de Presupuesto VIH'!C58/'Distribución de Presupuesto VIH'!C$74*C$6,H$3)</f>
        <v>#REF!</v>
      </c>
      <c r="D66" s="83" t="e">
        <f>CEILING('Distribución de Presupuesto VIH'!D58/'Distribución de Presupuesto VIH'!D$74*D$6,I$2)</f>
        <v>#REF!</v>
      </c>
      <c r="E66" s="98"/>
      <c r="F66" s="87" t="e">
        <f t="shared" si="8"/>
        <v>#REF!</v>
      </c>
      <c r="G66" s="87" t="e">
        <f t="shared" si="9"/>
        <v>#REF!</v>
      </c>
      <c r="H66" s="98"/>
      <c r="I66" s="87" t="e">
        <f t="shared" si="25"/>
        <v>#REF!</v>
      </c>
      <c r="J66" s="87" t="e">
        <f t="shared" si="11"/>
        <v>#REF!</v>
      </c>
      <c r="K66" s="98"/>
      <c r="L66" s="87" t="e">
        <f t="shared" si="23"/>
        <v>#REF!</v>
      </c>
      <c r="M66" s="87" t="e">
        <f t="shared" si="24"/>
        <v>#REF!</v>
      </c>
      <c r="N66" s="98"/>
    </row>
    <row r="67" spans="2:14" x14ac:dyDescent="0.3">
      <c r="B67" s="81" t="s">
        <v>75</v>
      </c>
      <c r="C67" s="83" t="e">
        <f>CEILING('Distribución de Presupuesto VIH'!C59/'Distribución de Presupuesto VIH'!C$74*C$6,H$3)</f>
        <v>#REF!</v>
      </c>
      <c r="D67" s="83" t="e">
        <f>CEILING('Distribución de Presupuesto VIH'!D59/'Distribución de Presupuesto VIH'!D$74*D$6,I$2)</f>
        <v>#REF!</v>
      </c>
      <c r="E67" s="98"/>
      <c r="F67" s="87" t="e">
        <f t="shared" si="8"/>
        <v>#REF!</v>
      </c>
      <c r="G67" s="87" t="e">
        <f t="shared" si="9"/>
        <v>#REF!</v>
      </c>
      <c r="H67" s="98"/>
      <c r="I67" s="87" t="e">
        <f t="shared" si="10"/>
        <v>#REF!</v>
      </c>
      <c r="J67" s="87" t="e">
        <f t="shared" si="11"/>
        <v>#REF!</v>
      </c>
      <c r="K67" s="98"/>
      <c r="L67" s="87" t="e">
        <f t="shared" si="23"/>
        <v>#REF!</v>
      </c>
      <c r="M67" s="87" t="e">
        <f t="shared" si="24"/>
        <v>#REF!</v>
      </c>
      <c r="N67" s="98"/>
    </row>
    <row r="68" spans="2:14" x14ac:dyDescent="0.3">
      <c r="B68" s="81" t="s">
        <v>76</v>
      </c>
      <c r="C68" s="83" t="e">
        <f>C74-(SUM(C54:C67)+SUM(C69:C73))</f>
        <v>#REF!</v>
      </c>
      <c r="D68" s="83" t="e">
        <f>D74-(SUM(D54:D67)+SUM(D69:D73))</f>
        <v>#REF!</v>
      </c>
      <c r="E68" s="98"/>
      <c r="F68" s="87" t="e">
        <f t="shared" si="8"/>
        <v>#REF!</v>
      </c>
      <c r="G68" s="87" t="e">
        <f t="shared" si="9"/>
        <v>#REF!</v>
      </c>
      <c r="H68" s="98"/>
      <c r="I68" s="87" t="e">
        <f t="shared" si="10"/>
        <v>#REF!</v>
      </c>
      <c r="J68" s="87" t="e">
        <f t="shared" si="11"/>
        <v>#REF!</v>
      </c>
      <c r="K68" s="98"/>
      <c r="L68" s="87" t="e">
        <f t="shared" si="23"/>
        <v>#REF!</v>
      </c>
      <c r="M68" s="87" t="e">
        <f t="shared" si="24"/>
        <v>#REF!</v>
      </c>
      <c r="N68" s="98"/>
    </row>
    <row r="69" spans="2:14" x14ac:dyDescent="0.3">
      <c r="B69" s="81" t="s">
        <v>77</v>
      </c>
      <c r="C69" s="83" t="e">
        <f>CEILING('Distribución de Presupuesto VIH'!C61/'Distribución de Presupuesto VIH'!C$74*C$6,H$3)</f>
        <v>#REF!</v>
      </c>
      <c r="D69" s="83" t="e">
        <f>CEILING('Distribución de Presupuesto VIH'!D61/'Distribución de Presupuesto VIH'!D$74*D$6,I$2)</f>
        <v>#REF!</v>
      </c>
      <c r="E69" s="98"/>
      <c r="F69" s="87" t="e">
        <f t="shared" si="8"/>
        <v>#REF!</v>
      </c>
      <c r="G69" s="87" t="e">
        <f t="shared" si="9"/>
        <v>#REF!</v>
      </c>
      <c r="H69" s="98"/>
      <c r="I69" s="87" t="e">
        <f t="shared" si="10"/>
        <v>#REF!</v>
      </c>
      <c r="J69" s="87" t="e">
        <f t="shared" si="11"/>
        <v>#REF!</v>
      </c>
      <c r="K69" s="98"/>
      <c r="L69" s="87" t="e">
        <f t="shared" si="23"/>
        <v>#REF!</v>
      </c>
      <c r="M69" s="87" t="e">
        <f t="shared" si="24"/>
        <v>#REF!</v>
      </c>
      <c r="N69" s="98"/>
    </row>
    <row r="70" spans="2:14" x14ac:dyDescent="0.3">
      <c r="B70" s="81" t="s">
        <v>78</v>
      </c>
      <c r="C70" s="83" t="e">
        <f>CEILING('Distribución de Presupuesto VIH'!C62/'Distribución de Presupuesto VIH'!C$74*C$6,H$3)</f>
        <v>#REF!</v>
      </c>
      <c r="D70" s="83" t="e">
        <f>CEILING('Distribución de Presupuesto VIH'!D62/'Distribución de Presupuesto VIH'!D$74*D$6,I$2)</f>
        <v>#REF!</v>
      </c>
      <c r="E70" s="98"/>
      <c r="F70" s="87" t="e">
        <f t="shared" si="8"/>
        <v>#REF!</v>
      </c>
      <c r="G70" s="87" t="e">
        <f t="shared" si="9"/>
        <v>#REF!</v>
      </c>
      <c r="H70" s="98"/>
      <c r="I70" s="87" t="e">
        <f t="shared" si="10"/>
        <v>#REF!</v>
      </c>
      <c r="J70" s="87" t="e">
        <f t="shared" si="11"/>
        <v>#REF!</v>
      </c>
      <c r="K70" s="98"/>
      <c r="L70" s="87" t="e">
        <f t="shared" si="23"/>
        <v>#REF!</v>
      </c>
      <c r="M70" s="87" t="e">
        <f t="shared" si="24"/>
        <v>#REF!</v>
      </c>
      <c r="N70" s="98"/>
    </row>
    <row r="71" spans="2:14" x14ac:dyDescent="0.3">
      <c r="B71" s="81" t="s">
        <v>79</v>
      </c>
      <c r="C71" s="83" t="e">
        <f>CEILING('Distribución de Presupuesto VIH'!C63/'Distribución de Presupuesto VIH'!C$74*C$6,H$3)</f>
        <v>#REF!</v>
      </c>
      <c r="D71" s="83" t="e">
        <f>CEILING('Distribución de Presupuesto VIH'!D63/'Distribución de Presupuesto VIH'!D$74*D$6,I$2)</f>
        <v>#REF!</v>
      </c>
      <c r="E71" s="98"/>
      <c r="F71" s="87" t="e">
        <f t="shared" si="8"/>
        <v>#REF!</v>
      </c>
      <c r="G71" s="87" t="e">
        <f t="shared" si="9"/>
        <v>#REF!</v>
      </c>
      <c r="H71" s="98"/>
      <c r="I71" s="87" t="e">
        <f t="shared" si="10"/>
        <v>#REF!</v>
      </c>
      <c r="J71" s="87" t="e">
        <f t="shared" si="11"/>
        <v>#REF!</v>
      </c>
      <c r="K71" s="98"/>
      <c r="L71" s="87" t="e">
        <f t="shared" si="23"/>
        <v>#REF!</v>
      </c>
      <c r="M71" s="87" t="e">
        <f t="shared" si="24"/>
        <v>#REF!</v>
      </c>
      <c r="N71" s="98"/>
    </row>
    <row r="72" spans="2:14" x14ac:dyDescent="0.3">
      <c r="B72" s="81" t="s">
        <v>80</v>
      </c>
      <c r="C72" s="83" t="e">
        <f>CEILING('Distribución de Presupuesto VIH'!C64/'Distribución de Presupuesto VIH'!C$74*C$6,H$3)</f>
        <v>#REF!</v>
      </c>
      <c r="D72" s="83" t="e">
        <f>CEILING('Distribución de Presupuesto VIH'!D64/'Distribución de Presupuesto VIH'!D$74*D$6,I$2)</f>
        <v>#REF!</v>
      </c>
      <c r="E72" s="98"/>
      <c r="F72" s="87" t="e">
        <f t="shared" si="8"/>
        <v>#REF!</v>
      </c>
      <c r="G72" s="87" t="e">
        <f t="shared" si="9"/>
        <v>#REF!</v>
      </c>
      <c r="H72" s="98"/>
      <c r="I72" s="87" t="e">
        <f t="shared" si="10"/>
        <v>#REF!</v>
      </c>
      <c r="J72" s="87" t="e">
        <f t="shared" si="11"/>
        <v>#REF!</v>
      </c>
      <c r="K72" s="98"/>
      <c r="L72" s="87" t="e">
        <f t="shared" si="23"/>
        <v>#REF!</v>
      </c>
      <c r="M72" s="87" t="e">
        <f t="shared" si="24"/>
        <v>#REF!</v>
      </c>
      <c r="N72" s="98"/>
    </row>
    <row r="73" spans="2:14" x14ac:dyDescent="0.3">
      <c r="B73" s="81" t="s">
        <v>81</v>
      </c>
      <c r="C73" s="83" t="e">
        <f>CEILING('Distribución de Presupuesto VIH'!C65/'Distribución de Presupuesto VIH'!C$74*C$6,H$3)</f>
        <v>#REF!</v>
      </c>
      <c r="D73" s="83" t="e">
        <f>CEILING('Distribución de Presupuesto VIH'!D65/'Distribución de Presupuesto VIH'!D$74*D$6,I$2)</f>
        <v>#REF!</v>
      </c>
      <c r="E73" s="98"/>
      <c r="F73" s="87" t="e">
        <f t="shared" si="8"/>
        <v>#REF!</v>
      </c>
      <c r="G73" s="87" t="e">
        <f t="shared" si="9"/>
        <v>#REF!</v>
      </c>
      <c r="H73" s="98"/>
      <c r="I73" s="87" t="e">
        <f t="shared" ref="I73" si="26">C73-F73</f>
        <v>#REF!</v>
      </c>
      <c r="J73" s="87" t="e">
        <f t="shared" si="11"/>
        <v>#REF!</v>
      </c>
      <c r="K73" s="98"/>
      <c r="L73" s="87" t="e">
        <f t="shared" si="23"/>
        <v>#REF!</v>
      </c>
      <c r="M73" s="87" t="e">
        <f t="shared" si="24"/>
        <v>#REF!</v>
      </c>
      <c r="N73" s="98"/>
    </row>
    <row r="74" spans="2:14" x14ac:dyDescent="0.3">
      <c r="B74" s="96" t="s">
        <v>82</v>
      </c>
      <c r="C74" s="97">
        <f>C6-C81-C53</f>
        <v>3022272</v>
      </c>
      <c r="D74" s="97">
        <f>D6-D81-D53</f>
        <v>67590</v>
      </c>
      <c r="E74" s="98"/>
      <c r="F74" s="97" t="e">
        <f>SUM(F54:F73)</f>
        <v>#REF!</v>
      </c>
      <c r="G74" s="97" t="e">
        <f>SUM(G54:G73)</f>
        <v>#REF!</v>
      </c>
      <c r="H74" s="98"/>
      <c r="I74" s="97" t="e">
        <f>SUM(I54:I73)</f>
        <v>#REF!</v>
      </c>
      <c r="J74" s="97" t="e">
        <f>SUM(J54:J73)</f>
        <v>#REF!</v>
      </c>
      <c r="K74" s="98"/>
      <c r="L74" s="97" t="e">
        <f>SUM(L54:L73)</f>
        <v>#REF!</v>
      </c>
      <c r="M74" s="97" t="e">
        <f>SUM(M54:M73)</f>
        <v>#REF!</v>
      </c>
      <c r="N74" s="74"/>
    </row>
    <row r="75" spans="2:14" x14ac:dyDescent="0.3">
      <c r="B75" s="81" t="s">
        <v>83</v>
      </c>
      <c r="C75" s="83">
        <v>357696</v>
      </c>
      <c r="D75" s="83">
        <v>0</v>
      </c>
      <c r="E75" s="98"/>
      <c r="F75" s="87">
        <f t="shared" si="8"/>
        <v>119232</v>
      </c>
      <c r="G75" s="87">
        <f t="shared" si="9"/>
        <v>0</v>
      </c>
      <c r="H75" s="98"/>
      <c r="I75" s="87">
        <f t="shared" si="10"/>
        <v>119232</v>
      </c>
      <c r="J75" s="87">
        <f t="shared" si="11"/>
        <v>0</v>
      </c>
      <c r="K75" s="98"/>
      <c r="L75" s="87">
        <f t="shared" ref="L75:L80" si="27">C75-F75-I75</f>
        <v>119232</v>
      </c>
      <c r="M75" s="87">
        <f t="shared" ref="M75:M80" si="28">D75-G75-J75</f>
        <v>0</v>
      </c>
      <c r="N75" s="98"/>
    </row>
    <row r="76" spans="2:14" x14ac:dyDescent="0.3">
      <c r="B76" s="81" t="s">
        <v>84</v>
      </c>
      <c r="C76" s="83">
        <v>593244</v>
      </c>
      <c r="D76" s="83">
        <v>0</v>
      </c>
      <c r="E76" s="98"/>
      <c r="F76" s="87">
        <f t="shared" si="8"/>
        <v>202176</v>
      </c>
      <c r="G76" s="87">
        <f t="shared" si="9"/>
        <v>0</v>
      </c>
      <c r="H76" s="98"/>
      <c r="I76" s="87">
        <f t="shared" si="10"/>
        <v>202176</v>
      </c>
      <c r="J76" s="87">
        <f t="shared" si="11"/>
        <v>0</v>
      </c>
      <c r="K76" s="98"/>
      <c r="L76" s="87">
        <f t="shared" si="27"/>
        <v>188892</v>
      </c>
      <c r="M76" s="87">
        <f t="shared" si="28"/>
        <v>0</v>
      </c>
      <c r="N76" s="98"/>
    </row>
    <row r="77" spans="2:14" x14ac:dyDescent="0.3">
      <c r="B77" s="81" t="s">
        <v>85</v>
      </c>
      <c r="C77" s="83">
        <v>181440</v>
      </c>
      <c r="D77" s="83">
        <v>5500</v>
      </c>
      <c r="E77" s="98"/>
      <c r="F77" s="87">
        <f t="shared" si="8"/>
        <v>62208</v>
      </c>
      <c r="G77" s="87">
        <f t="shared" si="9"/>
        <v>2750</v>
      </c>
      <c r="H77" s="98"/>
      <c r="I77" s="87">
        <f t="shared" si="10"/>
        <v>62208</v>
      </c>
      <c r="J77" s="87">
        <f t="shared" si="11"/>
        <v>2750</v>
      </c>
      <c r="K77" s="98"/>
      <c r="L77" s="87">
        <f t="shared" si="27"/>
        <v>57024</v>
      </c>
      <c r="M77" s="87">
        <f t="shared" si="28"/>
        <v>0</v>
      </c>
      <c r="N77" s="98"/>
    </row>
    <row r="78" spans="2:14" x14ac:dyDescent="0.3">
      <c r="B78" s="81" t="s">
        <v>86</v>
      </c>
      <c r="C78" s="83">
        <v>46656</v>
      </c>
      <c r="D78" s="83">
        <v>0</v>
      </c>
      <c r="E78" s="98"/>
      <c r="F78" s="87">
        <f t="shared" si="8"/>
        <v>25920</v>
      </c>
      <c r="G78" s="87">
        <f t="shared" si="9"/>
        <v>0</v>
      </c>
      <c r="H78" s="98"/>
      <c r="I78" s="87">
        <f t="shared" si="10"/>
        <v>25920</v>
      </c>
      <c r="J78" s="87">
        <f t="shared" si="11"/>
        <v>0</v>
      </c>
      <c r="K78" s="98"/>
      <c r="L78" s="87">
        <f t="shared" si="27"/>
        <v>-5184</v>
      </c>
      <c r="M78" s="87">
        <f t="shared" si="28"/>
        <v>0</v>
      </c>
      <c r="N78" s="98"/>
    </row>
    <row r="79" spans="2:14" x14ac:dyDescent="0.3">
      <c r="B79" s="81" t="s">
        <v>87</v>
      </c>
      <c r="C79" s="83">
        <v>62208</v>
      </c>
      <c r="D79" s="83">
        <v>1900</v>
      </c>
      <c r="E79" s="98"/>
      <c r="F79" s="87">
        <f t="shared" si="8"/>
        <v>31104</v>
      </c>
      <c r="G79" s="87">
        <f t="shared" si="9"/>
        <v>950</v>
      </c>
      <c r="H79" s="98"/>
      <c r="I79" s="87">
        <f t="shared" si="10"/>
        <v>31104</v>
      </c>
      <c r="J79" s="87">
        <f t="shared" si="11"/>
        <v>950</v>
      </c>
      <c r="K79" s="98"/>
      <c r="L79" s="87">
        <f t="shared" si="27"/>
        <v>0</v>
      </c>
      <c r="M79" s="87">
        <f t="shared" si="28"/>
        <v>0</v>
      </c>
      <c r="N79" s="98"/>
    </row>
    <row r="80" spans="2:14" x14ac:dyDescent="0.3">
      <c r="B80" s="81" t="s">
        <v>88</v>
      </c>
      <c r="C80" s="83">
        <v>72576</v>
      </c>
      <c r="D80" s="83">
        <v>0</v>
      </c>
      <c r="E80" s="98"/>
      <c r="F80" s="87">
        <f t="shared" si="8"/>
        <v>36288</v>
      </c>
      <c r="G80" s="87">
        <f t="shared" si="9"/>
        <v>0</v>
      </c>
      <c r="H80" s="98"/>
      <c r="I80" s="87">
        <f t="shared" si="10"/>
        <v>36288</v>
      </c>
      <c r="J80" s="87">
        <f t="shared" si="11"/>
        <v>0</v>
      </c>
      <c r="K80" s="98"/>
      <c r="L80" s="87">
        <f t="shared" si="27"/>
        <v>0</v>
      </c>
      <c r="M80" s="87">
        <f t="shared" si="28"/>
        <v>0</v>
      </c>
      <c r="N80" s="98"/>
    </row>
    <row r="81" spans="2:13" x14ac:dyDescent="0.3">
      <c r="B81" s="96" t="s">
        <v>89</v>
      </c>
      <c r="C81" s="97">
        <f>SUM(C75:C80)</f>
        <v>1313820</v>
      </c>
      <c r="D81" s="97">
        <f>SUM(D75:D80)</f>
        <v>7400</v>
      </c>
      <c r="E81" s="89"/>
      <c r="F81" s="97">
        <f>SUM(F75:F80)</f>
        <v>476928</v>
      </c>
      <c r="G81" s="97">
        <f>SUM(G75:G80)</f>
        <v>3700</v>
      </c>
      <c r="H81" s="98"/>
      <c r="I81" s="97">
        <f>SUM(I75:I80)</f>
        <v>476928</v>
      </c>
      <c r="J81" s="97">
        <f>SUM(J75:J80)</f>
        <v>3700</v>
      </c>
      <c r="K81" s="98"/>
      <c r="L81" s="97">
        <f>SUM(L75:L80)</f>
        <v>359964</v>
      </c>
      <c r="M81" s="97">
        <f>SUM(M75:M80)</f>
        <v>0</v>
      </c>
    </row>
    <row r="82" spans="2:13" x14ac:dyDescent="0.3">
      <c r="B82" s="88" t="s">
        <v>90</v>
      </c>
      <c r="C82" s="84">
        <f>C81+C74+C53</f>
        <v>7182108</v>
      </c>
      <c r="D82" s="84">
        <f t="shared" ref="D82" si="29">D81+D74+D53</f>
        <v>85970</v>
      </c>
      <c r="E82" s="89"/>
      <c r="F82" s="84" t="e">
        <f>F81+F74+F53</f>
        <v>#REF!</v>
      </c>
      <c r="G82" s="84" t="e">
        <f>G81+G74+G53</f>
        <v>#REF!</v>
      </c>
      <c r="H82" s="98"/>
      <c r="I82" s="84" t="e">
        <f>I81+I74+I53</f>
        <v>#REF!</v>
      </c>
      <c r="J82" s="84" t="e">
        <f t="shared" ref="J82" si="30">J81+J74+J53</f>
        <v>#REF!</v>
      </c>
      <c r="K82" s="98"/>
      <c r="L82" s="84" t="e">
        <f>L81+L74+L53</f>
        <v>#REF!</v>
      </c>
      <c r="M82" s="84" t="e">
        <f t="shared" ref="M82" si="31">M81+M74+M53</f>
        <v>#REF!</v>
      </c>
    </row>
    <row r="83" spans="2:13" x14ac:dyDescent="0.3">
      <c r="L83" s="74"/>
    </row>
  </sheetData>
  <mergeCells count="4">
    <mergeCell ref="C8:D8"/>
    <mergeCell ref="F8:G8"/>
    <mergeCell ref="I8:J8"/>
    <mergeCell ref="L8:M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073B5-DF85-4BAC-BA21-A9F194266DFE}">
  <dimension ref="A1:J57"/>
  <sheetViews>
    <sheetView workbookViewId="0">
      <pane xSplit="3" ySplit="7" topLeftCell="D11" activePane="bottomRight" state="frozen"/>
      <selection pane="topRight" activeCell="H50" sqref="H50:H55"/>
      <selection pane="bottomLeft" activeCell="H50" sqref="H50:H55"/>
      <selection pane="bottomRight" activeCell="H8" sqref="H8"/>
    </sheetView>
  </sheetViews>
  <sheetFormatPr baseColWidth="10" defaultColWidth="10.77734375" defaultRowHeight="14.4" x14ac:dyDescent="0.3"/>
  <cols>
    <col min="1" max="1" width="12.77734375" bestFit="1" customWidth="1"/>
    <col min="2" max="2" width="32.44140625" bestFit="1" customWidth="1"/>
    <col min="3" max="3" width="16.21875" bestFit="1" customWidth="1"/>
    <col min="4" max="4" width="8.5546875" customWidth="1"/>
    <col min="5" max="5" width="8.21875" customWidth="1"/>
    <col min="6" max="6" width="8.77734375" customWidth="1"/>
    <col min="7" max="7" width="9.77734375" customWidth="1"/>
    <col min="8" max="8" width="12.44140625" bestFit="1" customWidth="1"/>
  </cols>
  <sheetData>
    <row r="1" spans="1:10" x14ac:dyDescent="0.3">
      <c r="C1" s="119" t="s">
        <v>91</v>
      </c>
      <c r="D1" s="120">
        <v>60</v>
      </c>
      <c r="E1" s="120">
        <v>144</v>
      </c>
      <c r="F1" s="120">
        <v>144</v>
      </c>
    </row>
    <row r="2" spans="1:10" x14ac:dyDescent="0.3">
      <c r="C2" s="121" t="s">
        <v>92</v>
      </c>
      <c r="D2" s="122">
        <f>Población!E4</f>
        <v>0.24196499999999999</v>
      </c>
      <c r="E2" s="122">
        <f>Población!C4</f>
        <v>0.40724999999999995</v>
      </c>
      <c r="F2" s="122">
        <f>Población!D4</f>
        <v>0.63749999999999996</v>
      </c>
    </row>
    <row r="3" spans="1:10" x14ac:dyDescent="0.3">
      <c r="C3" s="119" t="s">
        <v>91</v>
      </c>
      <c r="D3" s="123">
        <v>0</v>
      </c>
      <c r="E3" s="123">
        <v>0</v>
      </c>
      <c r="F3" s="120">
        <v>90</v>
      </c>
    </row>
    <row r="4" spans="1:10" x14ac:dyDescent="0.3">
      <c r="C4" s="121" t="s">
        <v>92</v>
      </c>
      <c r="D4" s="122">
        <f>Población!E6</f>
        <v>0</v>
      </c>
      <c r="E4" s="122">
        <f>Población!C6</f>
        <v>0</v>
      </c>
      <c r="F4" s="122">
        <f>Población!D6</f>
        <v>2.9749999999999999E-2</v>
      </c>
    </row>
    <row r="6" spans="1:10" x14ac:dyDescent="0.3">
      <c r="G6" s="126" t="s">
        <v>93</v>
      </c>
      <c r="H6" s="127">
        <v>7.54</v>
      </c>
      <c r="I6" s="100">
        <v>1.48</v>
      </c>
    </row>
    <row r="7" spans="1:10" ht="29.1" customHeight="1" x14ac:dyDescent="0.3">
      <c r="A7" s="110" t="s">
        <v>94</v>
      </c>
      <c r="B7" s="110" t="s">
        <v>95</v>
      </c>
      <c r="C7" s="110" t="s">
        <v>96</v>
      </c>
      <c r="D7" s="111" t="s">
        <v>97</v>
      </c>
      <c r="E7" s="111" t="s">
        <v>98</v>
      </c>
      <c r="F7" s="111" t="s">
        <v>99</v>
      </c>
      <c r="G7" s="111" t="s">
        <v>100</v>
      </c>
      <c r="H7" s="91" t="s">
        <v>16</v>
      </c>
      <c r="I7" s="91" t="s">
        <v>17</v>
      </c>
    </row>
    <row r="8" spans="1:10" x14ac:dyDescent="0.3">
      <c r="A8" s="144" t="s">
        <v>101</v>
      </c>
      <c r="B8" s="103" t="s">
        <v>26</v>
      </c>
      <c r="C8" s="104" t="s">
        <v>102</v>
      </c>
      <c r="D8" s="108">
        <v>652</v>
      </c>
      <c r="E8" s="108">
        <v>39</v>
      </c>
      <c r="F8" s="108">
        <v>115</v>
      </c>
      <c r="G8" s="108">
        <f>SUM(D8:F8)</f>
        <v>806</v>
      </c>
      <c r="H8" s="118">
        <f>CEILING((($D8*$D$1*$D$2)+($E8*$E$1*$E$2)+($F8*$F$1*$F$2))*H$6*110%,5184)</f>
        <v>186624</v>
      </c>
      <c r="I8" s="118">
        <f>IF((($D8*$D$3*$D$4)+($E8*$E$3*$E$4)+($F8*$F$3*$F$4))*I$6&lt;1000,CEILING((($D8*$D$3*$D$4)+($E8*$E$3*$E$4)+($F8*$F$3*$F$4))*I$6,90),CEILING((($D8*$D$3*$D$4)+($E8*$E$3*$E$4)+($F8*$F$3*$F$4))*I$6,500))</f>
        <v>540</v>
      </c>
      <c r="J8" s="125"/>
    </row>
    <row r="9" spans="1:10" x14ac:dyDescent="0.3">
      <c r="A9" s="144"/>
      <c r="B9" s="103" t="s">
        <v>27</v>
      </c>
      <c r="C9" s="104" t="s">
        <v>102</v>
      </c>
      <c r="D9" s="108">
        <v>480</v>
      </c>
      <c r="E9" s="108">
        <v>43</v>
      </c>
      <c r="F9" s="108">
        <v>169</v>
      </c>
      <c r="G9" s="108">
        <f t="shared" ref="G9:G45" si="0">SUM(D9:F9)</f>
        <v>692</v>
      </c>
      <c r="H9" s="118">
        <f t="shared" ref="H9:H13" si="1">CEILING((($D9*$D$1*$D$2)+($E9*$E$1*$E$2)+($F9*$F$1*$F$2))*H$6*110%,5184)</f>
        <v>212544</v>
      </c>
      <c r="I9" s="118">
        <f t="shared" ref="I9:I45" si="2">IF((($D9*$D$3*$D$4)+($E9*$E$3*$E$4)+($F9*$F$3*$F$4))*I$6&lt;1000,CEILING((($D9*$D$3*$D$4)+($E9*$E$3*$E$4)+($F9*$F$3*$F$4))*I$6,90),CEILING((($D9*$D$3*$D$4)+($E9*$E$3*$E$4)+($F9*$F$3*$F$4))*I$6,500))</f>
        <v>720</v>
      </c>
    </row>
    <row r="10" spans="1:10" x14ac:dyDescent="0.3">
      <c r="A10" s="144"/>
      <c r="B10" s="103" t="s">
        <v>28</v>
      </c>
      <c r="C10" s="104" t="s">
        <v>102</v>
      </c>
      <c r="D10" s="108">
        <v>568</v>
      </c>
      <c r="E10" s="108">
        <v>9</v>
      </c>
      <c r="F10" s="108">
        <v>31</v>
      </c>
      <c r="G10" s="108">
        <f t="shared" si="0"/>
        <v>608</v>
      </c>
      <c r="H10" s="118">
        <f t="shared" si="1"/>
        <v>98496</v>
      </c>
      <c r="I10" s="118">
        <f t="shared" si="2"/>
        <v>180</v>
      </c>
    </row>
    <row r="11" spans="1:10" x14ac:dyDescent="0.3">
      <c r="A11" s="144"/>
      <c r="B11" s="103" t="s">
        <v>29</v>
      </c>
      <c r="C11" s="104" t="s">
        <v>102</v>
      </c>
      <c r="D11" s="108">
        <v>844</v>
      </c>
      <c r="E11" s="108">
        <v>37</v>
      </c>
      <c r="F11" s="108">
        <v>112</v>
      </c>
      <c r="G11" s="108">
        <f t="shared" si="0"/>
        <v>993</v>
      </c>
      <c r="H11" s="118">
        <f t="shared" si="1"/>
        <v>207360</v>
      </c>
      <c r="I11" s="118">
        <f t="shared" si="2"/>
        <v>450</v>
      </c>
    </row>
    <row r="12" spans="1:10" x14ac:dyDescent="0.3">
      <c r="A12" s="144"/>
      <c r="B12" s="109" t="s">
        <v>30</v>
      </c>
      <c r="C12" s="104" t="s">
        <v>102</v>
      </c>
      <c r="D12" s="108">
        <v>566</v>
      </c>
      <c r="E12" s="108">
        <v>10</v>
      </c>
      <c r="F12" s="108">
        <v>168</v>
      </c>
      <c r="G12" s="108">
        <f t="shared" si="0"/>
        <v>744</v>
      </c>
      <c r="H12" s="118">
        <f t="shared" si="1"/>
        <v>202176</v>
      </c>
      <c r="I12" s="118">
        <f t="shared" si="2"/>
        <v>720</v>
      </c>
    </row>
    <row r="13" spans="1:10" x14ac:dyDescent="0.3">
      <c r="A13" s="144"/>
      <c r="B13" s="103" t="s">
        <v>31</v>
      </c>
      <c r="C13" s="104" t="s">
        <v>102</v>
      </c>
      <c r="D13" s="108">
        <v>249</v>
      </c>
      <c r="E13" s="108">
        <v>3</v>
      </c>
      <c r="F13" s="108">
        <v>105</v>
      </c>
      <c r="G13" s="108">
        <f t="shared" si="0"/>
        <v>357</v>
      </c>
      <c r="H13" s="118">
        <f t="shared" si="1"/>
        <v>114048</v>
      </c>
      <c r="I13" s="118">
        <f t="shared" si="2"/>
        <v>450</v>
      </c>
    </row>
    <row r="14" spans="1:10" x14ac:dyDescent="0.3">
      <c r="A14" s="144"/>
      <c r="B14" s="103" t="s">
        <v>32</v>
      </c>
      <c r="C14" s="105"/>
      <c r="D14" s="108">
        <v>45</v>
      </c>
      <c r="E14" s="108">
        <v>2</v>
      </c>
      <c r="F14" s="108">
        <v>11</v>
      </c>
      <c r="G14" s="108">
        <f t="shared" si="0"/>
        <v>58</v>
      </c>
      <c r="H14" s="118">
        <f t="shared" ref="H14:H45" si="3">CEILING((($D14*$D$1*$D$2)+($E14*$E$1*$E$2)+($F14*$F$1*$F$2))*H$6,5184)</f>
        <v>15552</v>
      </c>
      <c r="I14" s="118">
        <f t="shared" si="2"/>
        <v>90</v>
      </c>
    </row>
    <row r="15" spans="1:10" x14ac:dyDescent="0.3">
      <c r="A15" s="144"/>
      <c r="B15" s="112" t="s">
        <v>33</v>
      </c>
      <c r="C15" s="105"/>
      <c r="D15" s="108">
        <v>19</v>
      </c>
      <c r="E15" s="108">
        <v>0</v>
      </c>
      <c r="F15" s="108">
        <v>125</v>
      </c>
      <c r="G15" s="108">
        <f t="shared" si="0"/>
        <v>144</v>
      </c>
      <c r="H15" s="118">
        <f t="shared" si="3"/>
        <v>93312</v>
      </c>
      <c r="I15" s="118">
        <f t="shared" si="2"/>
        <v>540</v>
      </c>
    </row>
    <row r="16" spans="1:10" x14ac:dyDescent="0.3">
      <c r="A16" s="144"/>
      <c r="B16" s="112" t="s">
        <v>34</v>
      </c>
      <c r="C16" s="105"/>
      <c r="D16" s="108">
        <v>18</v>
      </c>
      <c r="E16" s="108">
        <v>0</v>
      </c>
      <c r="F16" s="108">
        <v>13</v>
      </c>
      <c r="G16" s="108">
        <f t="shared" si="0"/>
        <v>31</v>
      </c>
      <c r="H16" s="118">
        <f t="shared" si="3"/>
        <v>15552</v>
      </c>
      <c r="I16" s="118">
        <f t="shared" si="2"/>
        <v>90</v>
      </c>
    </row>
    <row r="17" spans="1:9" x14ac:dyDescent="0.3">
      <c r="A17" s="144"/>
      <c r="B17" s="112" t="s">
        <v>35</v>
      </c>
      <c r="C17" s="105"/>
      <c r="D17" s="108">
        <v>53</v>
      </c>
      <c r="E17" s="108">
        <v>3</v>
      </c>
      <c r="F17" s="108">
        <v>16</v>
      </c>
      <c r="G17" s="108">
        <f t="shared" si="0"/>
        <v>72</v>
      </c>
      <c r="H17" s="118">
        <f t="shared" si="3"/>
        <v>20736</v>
      </c>
      <c r="I17" s="118">
        <f t="shared" si="2"/>
        <v>90</v>
      </c>
    </row>
    <row r="18" spans="1:9" x14ac:dyDescent="0.3">
      <c r="A18" s="144"/>
      <c r="B18" s="112" t="s">
        <v>36</v>
      </c>
      <c r="C18" s="105"/>
      <c r="D18" s="108">
        <v>26</v>
      </c>
      <c r="E18" s="108">
        <v>2</v>
      </c>
      <c r="F18" s="108">
        <v>19</v>
      </c>
      <c r="G18" s="108">
        <f t="shared" si="0"/>
        <v>47</v>
      </c>
      <c r="H18" s="118">
        <f t="shared" si="3"/>
        <v>20736</v>
      </c>
      <c r="I18" s="118">
        <f t="shared" si="2"/>
        <v>90</v>
      </c>
    </row>
    <row r="19" spans="1:9" x14ac:dyDescent="0.3">
      <c r="A19" s="144"/>
      <c r="B19" s="112" t="s">
        <v>37</v>
      </c>
      <c r="C19" s="105"/>
      <c r="D19" s="108">
        <v>86</v>
      </c>
      <c r="E19" s="108">
        <v>2</v>
      </c>
      <c r="F19" s="108">
        <v>14</v>
      </c>
      <c r="G19" s="108">
        <f t="shared" si="0"/>
        <v>102</v>
      </c>
      <c r="H19" s="118">
        <f t="shared" si="3"/>
        <v>20736</v>
      </c>
      <c r="I19" s="118">
        <f t="shared" si="2"/>
        <v>90</v>
      </c>
    </row>
    <row r="20" spans="1:9" x14ac:dyDescent="0.3">
      <c r="A20" s="144"/>
      <c r="B20" s="112" t="s">
        <v>38</v>
      </c>
      <c r="C20" s="105"/>
      <c r="D20" s="108">
        <v>11</v>
      </c>
      <c r="E20" s="108">
        <v>1</v>
      </c>
      <c r="F20" s="108">
        <v>4</v>
      </c>
      <c r="G20" s="108">
        <f t="shared" si="0"/>
        <v>16</v>
      </c>
      <c r="H20" s="118">
        <f t="shared" si="3"/>
        <v>5184</v>
      </c>
      <c r="I20" s="118">
        <f t="shared" si="2"/>
        <v>90</v>
      </c>
    </row>
    <row r="21" spans="1:9" x14ac:dyDescent="0.3">
      <c r="A21" s="144" t="s">
        <v>103</v>
      </c>
      <c r="B21" s="103" t="s">
        <v>19</v>
      </c>
      <c r="C21" s="104" t="s">
        <v>102</v>
      </c>
      <c r="D21" s="108">
        <v>295</v>
      </c>
      <c r="E21" s="108">
        <v>17</v>
      </c>
      <c r="F21" s="108">
        <v>32</v>
      </c>
      <c r="G21" s="108">
        <f t="shared" si="0"/>
        <v>344</v>
      </c>
      <c r="H21" s="118">
        <f t="shared" ref="H21:H22" si="4">CEILING((($D21*$D$1*$D$2)+($E21*$E$1*$E$2)+($F21*$F$1*$F$2))*H$6*110%,5184)</f>
        <v>72576</v>
      </c>
      <c r="I21" s="118">
        <f t="shared" si="2"/>
        <v>180</v>
      </c>
    </row>
    <row r="22" spans="1:9" x14ac:dyDescent="0.3">
      <c r="A22" s="144"/>
      <c r="B22" s="103" t="s">
        <v>20</v>
      </c>
      <c r="C22" s="104" t="s">
        <v>102</v>
      </c>
      <c r="D22" s="108">
        <v>138</v>
      </c>
      <c r="E22" s="108">
        <v>9</v>
      </c>
      <c r="F22" s="108">
        <v>41</v>
      </c>
      <c r="G22" s="108">
        <f t="shared" si="0"/>
        <v>188</v>
      </c>
      <c r="H22" s="118">
        <f t="shared" si="4"/>
        <v>57024</v>
      </c>
      <c r="I22" s="118">
        <f t="shared" si="2"/>
        <v>180</v>
      </c>
    </row>
    <row r="23" spans="1:9" x14ac:dyDescent="0.3">
      <c r="A23" s="144"/>
      <c r="B23" s="103" t="s">
        <v>21</v>
      </c>
      <c r="C23" s="105"/>
      <c r="D23" s="108">
        <v>42</v>
      </c>
      <c r="E23" s="108">
        <v>2</v>
      </c>
      <c r="F23" s="108">
        <v>55</v>
      </c>
      <c r="G23" s="108">
        <f t="shared" si="0"/>
        <v>99</v>
      </c>
      <c r="H23" s="118">
        <f t="shared" si="3"/>
        <v>46656</v>
      </c>
      <c r="I23" s="118">
        <f t="shared" si="2"/>
        <v>270</v>
      </c>
    </row>
    <row r="24" spans="1:9" x14ac:dyDescent="0.3">
      <c r="A24" s="144"/>
      <c r="B24" s="103" t="s">
        <v>22</v>
      </c>
      <c r="C24" s="105"/>
      <c r="D24" s="108">
        <v>37</v>
      </c>
      <c r="E24" s="108">
        <v>7</v>
      </c>
      <c r="F24" s="108">
        <v>44</v>
      </c>
      <c r="G24" s="108">
        <f t="shared" si="0"/>
        <v>88</v>
      </c>
      <c r="H24" s="118">
        <f t="shared" si="3"/>
        <v>41472</v>
      </c>
      <c r="I24" s="118">
        <f t="shared" si="2"/>
        <v>180</v>
      </c>
    </row>
    <row r="25" spans="1:9" x14ac:dyDescent="0.3">
      <c r="A25" s="144"/>
      <c r="B25" s="112" t="s">
        <v>23</v>
      </c>
      <c r="C25" s="108"/>
      <c r="D25" s="108">
        <v>16</v>
      </c>
      <c r="E25" s="108">
        <v>0</v>
      </c>
      <c r="F25" s="108">
        <v>5</v>
      </c>
      <c r="G25" s="108">
        <f t="shared" si="0"/>
        <v>21</v>
      </c>
      <c r="H25" s="118">
        <f t="shared" si="3"/>
        <v>10368</v>
      </c>
      <c r="I25" s="118">
        <f t="shared" si="2"/>
        <v>90</v>
      </c>
    </row>
    <row r="26" spans="1:9" x14ac:dyDescent="0.3">
      <c r="A26" s="144"/>
      <c r="B26" s="112" t="s">
        <v>24</v>
      </c>
      <c r="C26" s="108"/>
      <c r="D26" s="108">
        <v>20</v>
      </c>
      <c r="E26" s="108">
        <v>0</v>
      </c>
      <c r="F26" s="108">
        <v>28</v>
      </c>
      <c r="G26" s="108">
        <f t="shared" si="0"/>
        <v>48</v>
      </c>
      <c r="H26" s="118">
        <f t="shared" si="3"/>
        <v>25920</v>
      </c>
      <c r="I26" s="118">
        <f t="shared" si="2"/>
        <v>180</v>
      </c>
    </row>
    <row r="27" spans="1:9" x14ac:dyDescent="0.3">
      <c r="A27" s="144" t="s">
        <v>104</v>
      </c>
      <c r="B27" s="103" t="s">
        <v>40</v>
      </c>
      <c r="C27" s="104" t="s">
        <v>102</v>
      </c>
      <c r="D27" s="108">
        <v>543</v>
      </c>
      <c r="E27" s="108">
        <v>24</v>
      </c>
      <c r="F27" s="108">
        <v>19</v>
      </c>
      <c r="G27" s="108">
        <f t="shared" si="0"/>
        <v>586</v>
      </c>
      <c r="H27" s="118">
        <f t="shared" ref="H27:H29" si="5">CEILING((($D27*$D$1*$D$2)+($E27*$E$1*$E$2)+($F27*$F$1*$F$2))*H$6*110%,5184)</f>
        <v>93312</v>
      </c>
      <c r="I27" s="118">
        <f t="shared" si="2"/>
        <v>90</v>
      </c>
    </row>
    <row r="28" spans="1:9" x14ac:dyDescent="0.3">
      <c r="A28" s="144"/>
      <c r="B28" s="103" t="s">
        <v>41</v>
      </c>
      <c r="C28" s="104" t="s">
        <v>102</v>
      </c>
      <c r="D28" s="108">
        <v>283</v>
      </c>
      <c r="E28" s="108">
        <v>29</v>
      </c>
      <c r="F28" s="108">
        <v>52</v>
      </c>
      <c r="G28" s="108">
        <f t="shared" si="0"/>
        <v>364</v>
      </c>
      <c r="H28" s="118">
        <f t="shared" si="5"/>
        <v>88128</v>
      </c>
      <c r="I28" s="118">
        <f t="shared" si="2"/>
        <v>270</v>
      </c>
    </row>
    <row r="29" spans="1:9" x14ac:dyDescent="0.3">
      <c r="A29" s="144"/>
      <c r="B29" s="103" t="s">
        <v>42</v>
      </c>
      <c r="C29" s="104" t="s">
        <v>102</v>
      </c>
      <c r="D29" s="108">
        <v>487</v>
      </c>
      <c r="E29" s="108">
        <v>37</v>
      </c>
      <c r="F29" s="108">
        <v>131</v>
      </c>
      <c r="G29" s="108">
        <f t="shared" si="0"/>
        <v>655</v>
      </c>
      <c r="H29" s="118">
        <f t="shared" si="5"/>
        <v>181440</v>
      </c>
      <c r="I29" s="118">
        <f t="shared" si="2"/>
        <v>540</v>
      </c>
    </row>
    <row r="30" spans="1:9" x14ac:dyDescent="0.3">
      <c r="A30" s="144"/>
      <c r="B30" s="103" t="s">
        <v>43</v>
      </c>
      <c r="C30" s="105"/>
      <c r="D30" s="108">
        <v>82</v>
      </c>
      <c r="E30" s="108">
        <v>3</v>
      </c>
      <c r="F30" s="108">
        <v>121</v>
      </c>
      <c r="G30" s="108">
        <f t="shared" si="0"/>
        <v>206</v>
      </c>
      <c r="H30" s="118">
        <f t="shared" si="3"/>
        <v>98496</v>
      </c>
      <c r="I30" s="118">
        <f t="shared" si="2"/>
        <v>540</v>
      </c>
    </row>
    <row r="31" spans="1:9" x14ac:dyDescent="0.3">
      <c r="A31" s="144"/>
      <c r="B31" s="112" t="s">
        <v>44</v>
      </c>
      <c r="C31" s="105"/>
      <c r="D31" s="108">
        <v>25</v>
      </c>
      <c r="E31" s="108">
        <v>4</v>
      </c>
      <c r="F31" s="108">
        <v>23</v>
      </c>
      <c r="G31" s="108">
        <f t="shared" si="0"/>
        <v>52</v>
      </c>
      <c r="H31" s="118">
        <f t="shared" si="3"/>
        <v>20736</v>
      </c>
      <c r="I31" s="118">
        <f t="shared" si="2"/>
        <v>180</v>
      </c>
    </row>
    <row r="32" spans="1:9" x14ac:dyDescent="0.3">
      <c r="A32" s="144"/>
      <c r="B32" s="112" t="s">
        <v>45</v>
      </c>
      <c r="C32" s="105"/>
      <c r="D32" s="108">
        <v>22</v>
      </c>
      <c r="E32" s="108">
        <v>5</v>
      </c>
      <c r="F32" s="108">
        <v>47</v>
      </c>
      <c r="G32" s="108">
        <f t="shared" si="0"/>
        <v>74</v>
      </c>
      <c r="H32" s="118">
        <f t="shared" si="3"/>
        <v>41472</v>
      </c>
      <c r="I32" s="118">
        <f t="shared" si="2"/>
        <v>270</v>
      </c>
    </row>
    <row r="33" spans="1:9" x14ac:dyDescent="0.3">
      <c r="A33" s="144"/>
      <c r="B33" s="112" t="s">
        <v>46</v>
      </c>
      <c r="C33" s="105"/>
      <c r="D33" s="108">
        <v>10</v>
      </c>
      <c r="E33" s="108">
        <v>7</v>
      </c>
      <c r="F33" s="108">
        <v>20</v>
      </c>
      <c r="G33" s="108">
        <f t="shared" si="0"/>
        <v>37</v>
      </c>
      <c r="H33" s="118">
        <f t="shared" si="3"/>
        <v>20736</v>
      </c>
      <c r="I33" s="118">
        <f t="shared" si="2"/>
        <v>90</v>
      </c>
    </row>
    <row r="34" spans="1:9" x14ac:dyDescent="0.3">
      <c r="A34" s="144"/>
      <c r="B34" s="112" t="s">
        <v>47</v>
      </c>
      <c r="C34" s="105"/>
      <c r="D34" s="108">
        <v>22</v>
      </c>
      <c r="E34" s="108">
        <v>1</v>
      </c>
      <c r="F34" s="108">
        <v>40</v>
      </c>
      <c r="G34" s="108">
        <f t="shared" si="0"/>
        <v>63</v>
      </c>
      <c r="H34" s="118">
        <f t="shared" si="3"/>
        <v>31104</v>
      </c>
      <c r="I34" s="118">
        <f t="shared" si="2"/>
        <v>180</v>
      </c>
    </row>
    <row r="35" spans="1:9" x14ac:dyDescent="0.3">
      <c r="A35" s="144"/>
      <c r="B35" s="106" t="s">
        <v>48</v>
      </c>
      <c r="C35" s="105"/>
      <c r="D35" s="108">
        <v>9</v>
      </c>
      <c r="E35" s="108">
        <v>0</v>
      </c>
      <c r="F35" s="108">
        <v>1</v>
      </c>
      <c r="G35" s="108">
        <f t="shared" si="0"/>
        <v>10</v>
      </c>
      <c r="H35" s="118">
        <f t="shared" si="3"/>
        <v>5184</v>
      </c>
      <c r="I35" s="118">
        <f t="shared" si="2"/>
        <v>90</v>
      </c>
    </row>
    <row r="36" spans="1:9" x14ac:dyDescent="0.3">
      <c r="A36" s="144"/>
      <c r="B36" s="113" t="s">
        <v>49</v>
      </c>
      <c r="C36" s="105"/>
      <c r="D36" s="108">
        <v>24</v>
      </c>
      <c r="E36" s="108">
        <v>3</v>
      </c>
      <c r="F36" s="108">
        <v>18</v>
      </c>
      <c r="G36" s="108">
        <f t="shared" si="0"/>
        <v>45</v>
      </c>
      <c r="H36" s="118">
        <f t="shared" si="3"/>
        <v>20736</v>
      </c>
      <c r="I36" s="118">
        <f t="shared" si="2"/>
        <v>90</v>
      </c>
    </row>
    <row r="37" spans="1:9" x14ac:dyDescent="0.3">
      <c r="A37" s="144" t="s">
        <v>105</v>
      </c>
      <c r="B37" s="103" t="s">
        <v>57</v>
      </c>
      <c r="C37" s="105"/>
      <c r="D37" s="108">
        <v>70</v>
      </c>
      <c r="E37" s="108">
        <v>15</v>
      </c>
      <c r="F37" s="108">
        <v>21</v>
      </c>
      <c r="G37" s="108">
        <f t="shared" si="0"/>
        <v>106</v>
      </c>
      <c r="H37" s="118">
        <f t="shared" si="3"/>
        <v>31104</v>
      </c>
      <c r="I37" s="118">
        <f t="shared" si="2"/>
        <v>90</v>
      </c>
    </row>
    <row r="38" spans="1:9" x14ac:dyDescent="0.3">
      <c r="A38" s="144"/>
      <c r="B38" s="103" t="s">
        <v>58</v>
      </c>
      <c r="C38" s="105"/>
      <c r="D38" s="108">
        <v>106</v>
      </c>
      <c r="E38" s="108">
        <v>10</v>
      </c>
      <c r="F38" s="108">
        <v>95</v>
      </c>
      <c r="G38" s="108">
        <f t="shared" si="0"/>
        <v>211</v>
      </c>
      <c r="H38" s="118">
        <f t="shared" si="3"/>
        <v>82944</v>
      </c>
      <c r="I38" s="118">
        <f t="shared" si="2"/>
        <v>450</v>
      </c>
    </row>
    <row r="39" spans="1:9" x14ac:dyDescent="0.3">
      <c r="A39" s="144"/>
      <c r="B39" s="113" t="s">
        <v>59</v>
      </c>
      <c r="C39" s="107" t="s">
        <v>106</v>
      </c>
      <c r="D39" s="115">
        <v>70</v>
      </c>
      <c r="E39" s="115">
        <v>15</v>
      </c>
      <c r="F39" s="115">
        <v>21</v>
      </c>
      <c r="G39" s="108">
        <f t="shared" si="0"/>
        <v>106</v>
      </c>
      <c r="H39" s="118">
        <f t="shared" si="3"/>
        <v>31104</v>
      </c>
      <c r="I39" s="118">
        <f t="shared" si="2"/>
        <v>90</v>
      </c>
    </row>
    <row r="40" spans="1:9" x14ac:dyDescent="0.3">
      <c r="A40" s="144"/>
      <c r="B40" s="114" t="s">
        <v>60</v>
      </c>
      <c r="C40" s="105"/>
      <c r="D40" s="108">
        <v>70</v>
      </c>
      <c r="E40" s="108">
        <v>12</v>
      </c>
      <c r="F40" s="108">
        <v>44</v>
      </c>
      <c r="G40" s="108">
        <f t="shared" si="0"/>
        <v>126</v>
      </c>
      <c r="H40" s="118">
        <f t="shared" si="3"/>
        <v>46656</v>
      </c>
      <c r="I40" s="118">
        <f t="shared" si="2"/>
        <v>180</v>
      </c>
    </row>
    <row r="41" spans="1:9" x14ac:dyDescent="0.3">
      <c r="A41" s="144" t="s">
        <v>107</v>
      </c>
      <c r="B41" s="103" t="s">
        <v>51</v>
      </c>
      <c r="C41" s="104" t="s">
        <v>102</v>
      </c>
      <c r="D41" s="108">
        <v>334</v>
      </c>
      <c r="E41" s="108">
        <v>44</v>
      </c>
      <c r="F41" s="108">
        <v>153</v>
      </c>
      <c r="G41" s="108">
        <f t="shared" si="0"/>
        <v>531</v>
      </c>
      <c r="H41" s="118">
        <f t="shared" ref="H41" si="6">CEILING((($D41*$D$1*$D$2)+($E41*$E$1*$E$2)+($F41*$F$1*$F$2))*H$6*110%,5184)</f>
        <v>181440</v>
      </c>
      <c r="I41" s="118">
        <f t="shared" si="2"/>
        <v>630</v>
      </c>
    </row>
    <row r="42" spans="1:9" x14ac:dyDescent="0.3">
      <c r="A42" s="144"/>
      <c r="B42" s="103" t="s">
        <v>52</v>
      </c>
      <c r="C42" s="105"/>
      <c r="D42" s="108">
        <v>69</v>
      </c>
      <c r="E42" s="108">
        <v>24</v>
      </c>
      <c r="F42" s="108">
        <v>192</v>
      </c>
      <c r="G42" s="108">
        <f t="shared" si="0"/>
        <v>285</v>
      </c>
      <c r="H42" s="118">
        <f t="shared" si="3"/>
        <v>155520</v>
      </c>
      <c r="I42" s="118">
        <f t="shared" si="2"/>
        <v>810</v>
      </c>
    </row>
    <row r="43" spans="1:9" x14ac:dyDescent="0.3">
      <c r="A43" s="144"/>
      <c r="B43" s="103" t="s">
        <v>53</v>
      </c>
      <c r="C43" s="105"/>
      <c r="D43" s="108">
        <v>218</v>
      </c>
      <c r="E43" s="108">
        <v>18</v>
      </c>
      <c r="F43" s="108">
        <v>145</v>
      </c>
      <c r="G43" s="108">
        <f t="shared" si="0"/>
        <v>381</v>
      </c>
      <c r="H43" s="118">
        <f t="shared" si="3"/>
        <v>134784</v>
      </c>
      <c r="I43" s="118">
        <f t="shared" si="2"/>
        <v>630</v>
      </c>
    </row>
    <row r="44" spans="1:9" x14ac:dyDescent="0.3">
      <c r="A44" s="144"/>
      <c r="B44" s="114" t="s">
        <v>54</v>
      </c>
      <c r="C44" s="105"/>
      <c r="D44" s="108">
        <v>64</v>
      </c>
      <c r="E44" s="108">
        <v>1</v>
      </c>
      <c r="F44" s="108">
        <v>66</v>
      </c>
      <c r="G44" s="108">
        <f t="shared" si="0"/>
        <v>131</v>
      </c>
      <c r="H44" s="118">
        <f t="shared" si="3"/>
        <v>57024</v>
      </c>
      <c r="I44" s="118">
        <f t="shared" si="2"/>
        <v>270</v>
      </c>
    </row>
    <row r="45" spans="1:9" x14ac:dyDescent="0.3">
      <c r="A45" s="144"/>
      <c r="B45" s="114" t="s">
        <v>55</v>
      </c>
      <c r="C45" s="107" t="s">
        <v>106</v>
      </c>
      <c r="D45" s="115">
        <v>64</v>
      </c>
      <c r="E45" s="115">
        <v>1</v>
      </c>
      <c r="F45" s="115">
        <v>66</v>
      </c>
      <c r="G45" s="108">
        <f t="shared" si="0"/>
        <v>131</v>
      </c>
      <c r="H45" s="118">
        <f t="shared" si="3"/>
        <v>57024</v>
      </c>
      <c r="I45" s="118">
        <f t="shared" si="2"/>
        <v>270</v>
      </c>
    </row>
    <row r="46" spans="1:9" x14ac:dyDescent="0.3">
      <c r="D46" s="116">
        <f>SUM(D8:D45)</f>
        <v>6737</v>
      </c>
      <c r="E46" s="116">
        <f t="shared" ref="E46:F46" si="7">SUM(E8:E45)</f>
        <v>439</v>
      </c>
      <c r="F46" s="116">
        <f t="shared" si="7"/>
        <v>2382</v>
      </c>
      <c r="G46" s="116">
        <f>SUM(G8:G45)</f>
        <v>9558</v>
      </c>
      <c r="H46" s="117">
        <f>SUM(H8:H45)</f>
        <v>2846016</v>
      </c>
      <c r="I46" s="117">
        <f>SUM(I8:I45)</f>
        <v>10980</v>
      </c>
    </row>
    <row r="47" spans="1:9" x14ac:dyDescent="0.3">
      <c r="G47" s="124"/>
      <c r="H47" s="117"/>
      <c r="I47" s="117"/>
    </row>
    <row r="48" spans="1:9" x14ac:dyDescent="0.3">
      <c r="G48" s="126" t="s">
        <v>93</v>
      </c>
      <c r="H48" s="127">
        <v>7.62</v>
      </c>
      <c r="I48" s="100">
        <v>3</v>
      </c>
    </row>
    <row r="49" spans="2:9" ht="43.8" thickBot="1" x14ac:dyDescent="0.35">
      <c r="D49" s="111" t="s">
        <v>97</v>
      </c>
      <c r="E49" s="111" t="s">
        <v>98</v>
      </c>
      <c r="F49" s="111" t="s">
        <v>99</v>
      </c>
      <c r="G49" s="111" t="s">
        <v>100</v>
      </c>
      <c r="H49" s="91" t="s">
        <v>16</v>
      </c>
      <c r="I49" s="91" t="s">
        <v>17</v>
      </c>
    </row>
    <row r="50" spans="2:9" x14ac:dyDescent="0.3">
      <c r="B50" s="81" t="s">
        <v>83</v>
      </c>
      <c r="D50" s="53"/>
      <c r="E50" s="53">
        <v>1200</v>
      </c>
      <c r="F50" s="53"/>
      <c r="G50" s="108">
        <f t="shared" ref="G50" si="8">SUM(D50:F50)</f>
        <v>1200</v>
      </c>
      <c r="H50" s="118">
        <f>CEILING((($D50*$D$1*$D$2)+($E50*$E$1*$E$2)+($F50*$F$1*$F$2))*H$48,5184)</f>
        <v>539136</v>
      </c>
      <c r="I50" s="118">
        <f>IF((($D50*$D$3*$D$4)+($E50*$E$3*$E$4)+($F50*$F$3*$F$4))*I$48&lt;1000,CEILING((($D50*$D$3*$D$4)+($E50*$E$3*$E$4)+($F50*$F$3*$F$4))*I$6,90),CEILING((($D50*$D$3*$D$4)+($E50*$E$3*$E$4)+($F50*$F$3*$F$4))*I$6,1000))</f>
        <v>0</v>
      </c>
    </row>
    <row r="51" spans="2:9" x14ac:dyDescent="0.3">
      <c r="B51" s="81" t="s">
        <v>84</v>
      </c>
      <c r="D51" s="50"/>
      <c r="E51" s="50">
        <v>2000</v>
      </c>
      <c r="F51" s="50"/>
      <c r="G51" s="108">
        <f t="shared" ref="G51:G55" si="9">SUM(D51:F51)</f>
        <v>2000</v>
      </c>
      <c r="H51" s="118">
        <f>1313820-H50-SUM(H52:H55)</f>
        <v>354780</v>
      </c>
      <c r="I51" s="118">
        <f t="shared" ref="I51:I55" si="10">IF((($D51*$D$3*$D$4)+($E51*$E$3*$E$4)+($F51*$F$3*$F$4))*I$48&lt;1000,CEILING((($D51*$D$3*$D$4)+($E51*$E$3*$E$4)+($F51*$F$3*$F$4))*I$6,90),CEILING((($D51*$D$3*$D$4)+($E51*$E$3*$E$4)+($F51*$F$3*$F$4))*I$6,1000))</f>
        <v>0</v>
      </c>
    </row>
    <row r="52" spans="2:9" x14ac:dyDescent="0.3">
      <c r="B52" s="81" t="s">
        <v>85</v>
      </c>
      <c r="D52" s="50"/>
      <c r="E52" s="50"/>
      <c r="F52" s="50">
        <v>300</v>
      </c>
      <c r="G52" s="108">
        <f t="shared" si="9"/>
        <v>300</v>
      </c>
      <c r="H52" s="118">
        <f t="shared" ref="H52:H55" si="11">CEILING((($D52*$D$1*$D$2)+($E52*$E$1*$E$2)+($F52*$F$1*$F$2))*H$48,5184)</f>
        <v>212544</v>
      </c>
      <c r="I52" s="118">
        <f>IF((($D52*$D$3*$D$4)+($E52*$E$3*$E$4)+($F52*$F$3*$F$4))*I$48&lt;1000,CEILING((($D52*$D$3*$D$4)+($E52*$E$3*$E$4)+($F52*$F$3*$F$4))*I$6,90),CEILING((($D52*$D$3*$D$4)+($E52*$E$3*$E$4)+($F52*$F$3*$F$4))*I$6,100))</f>
        <v>1200</v>
      </c>
    </row>
    <row r="53" spans="2:9" x14ac:dyDescent="0.3">
      <c r="B53" s="81" t="s">
        <v>86</v>
      </c>
      <c r="D53" s="50"/>
      <c r="E53" s="50">
        <v>150</v>
      </c>
      <c r="F53" s="50"/>
      <c r="G53" s="108">
        <f t="shared" si="9"/>
        <v>150</v>
      </c>
      <c r="H53" s="118">
        <f t="shared" si="11"/>
        <v>67392</v>
      </c>
      <c r="I53" s="118">
        <f t="shared" si="10"/>
        <v>0</v>
      </c>
    </row>
    <row r="54" spans="2:9" x14ac:dyDescent="0.3">
      <c r="B54" s="81" t="s">
        <v>87</v>
      </c>
      <c r="D54" s="67"/>
      <c r="E54" s="67"/>
      <c r="F54" s="67">
        <v>100</v>
      </c>
      <c r="G54" s="108">
        <f t="shared" si="9"/>
        <v>100</v>
      </c>
      <c r="H54" s="118">
        <f t="shared" si="11"/>
        <v>72576</v>
      </c>
      <c r="I54" s="118">
        <f>IF((($D54*$D$3*$D$4)+($E54*$E$3*$E$4)+($F54*$F$3*$F$4))*I$48&lt;1000,CEILING((($D54*$D$3*$D$4)+($E54*$E$3*$E$4)+($F54*$F$3*$F$4))*I$6,90),CEILING((($D54*$D$3*$D$4)+($E54*$E$3*$E$4)+($F54*$F$3*$F$4))*I$6,100))</f>
        <v>450</v>
      </c>
    </row>
    <row r="55" spans="2:9" ht="15" thickBot="1" x14ac:dyDescent="0.35">
      <c r="B55" s="81" t="s">
        <v>88</v>
      </c>
      <c r="D55" s="54">
        <v>600</v>
      </c>
      <c r="E55" s="54"/>
      <c r="F55" s="54"/>
      <c r="G55" s="108">
        <f t="shared" si="9"/>
        <v>600</v>
      </c>
      <c r="H55" s="118">
        <f t="shared" si="11"/>
        <v>67392</v>
      </c>
      <c r="I55" s="118">
        <f t="shared" si="10"/>
        <v>0</v>
      </c>
    </row>
    <row r="56" spans="2:9" x14ac:dyDescent="0.3">
      <c r="G56" s="128"/>
      <c r="H56" s="117">
        <f>SUM(H50:H55)</f>
        <v>1313820</v>
      </c>
      <c r="I56" s="117">
        <f>SUM(I50:I55)</f>
        <v>1650</v>
      </c>
    </row>
    <row r="57" spans="2:9" x14ac:dyDescent="0.3">
      <c r="H57" s="74"/>
    </row>
  </sheetData>
  <mergeCells count="5">
    <mergeCell ref="A27:A36"/>
    <mergeCell ref="A37:A40"/>
    <mergeCell ref="A41:A45"/>
    <mergeCell ref="A8:A20"/>
    <mergeCell ref="A21:A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8AA6-C2B5-4CAC-AACF-224A5B59F6D1}">
  <dimension ref="B1:K74"/>
  <sheetViews>
    <sheetView showGridLines="0" zoomScale="118" zoomScaleNormal="118" workbookViewId="0">
      <selection activeCell="B29" sqref="B29"/>
    </sheetView>
  </sheetViews>
  <sheetFormatPr baseColWidth="10" defaultColWidth="11.44140625" defaultRowHeight="14.4" x14ac:dyDescent="0.3"/>
  <cols>
    <col min="2" max="2" width="53.77734375" customWidth="1"/>
    <col min="3" max="3" width="18.5546875" bestFit="1" customWidth="1"/>
    <col min="4" max="5" width="13.5546875" customWidth="1"/>
    <col min="6" max="8" width="13.5546875" style="70" customWidth="1"/>
    <col min="9" max="9" width="12.44140625" bestFit="1" customWidth="1"/>
  </cols>
  <sheetData>
    <row r="1" spans="2:11" x14ac:dyDescent="0.3">
      <c r="B1" s="29"/>
      <c r="C1" s="51"/>
    </row>
    <row r="2" spans="2:11" x14ac:dyDescent="0.3">
      <c r="C2" s="92"/>
    </row>
    <row r="3" spans="2:11" x14ac:dyDescent="0.3">
      <c r="C3" s="92"/>
    </row>
    <row r="4" spans="2:11" x14ac:dyDescent="0.3">
      <c r="B4" s="29"/>
      <c r="C4" s="93"/>
    </row>
    <row r="6" spans="2:11" x14ac:dyDescent="0.3">
      <c r="B6" s="90" t="s">
        <v>9</v>
      </c>
      <c r="C6" s="94" t="e">
        <f>C74</f>
        <v>#REF!</v>
      </c>
      <c r="J6" s="77" t="s">
        <v>10</v>
      </c>
      <c r="K6" s="76" t="s">
        <v>11</v>
      </c>
    </row>
    <row r="8" spans="2:11" ht="31.8" customHeight="1" x14ac:dyDescent="0.3">
      <c r="C8" s="142" t="s">
        <v>12</v>
      </c>
      <c r="D8" s="145"/>
      <c r="E8" s="143"/>
      <c r="F8" s="146" t="s">
        <v>108</v>
      </c>
      <c r="G8" s="147"/>
      <c r="H8" s="148"/>
    </row>
    <row r="9" spans="2:11" ht="34.35" customHeight="1" x14ac:dyDescent="0.3">
      <c r="C9" s="82" t="s">
        <v>16</v>
      </c>
      <c r="D9" s="82" t="s">
        <v>17</v>
      </c>
      <c r="E9" s="82" t="s">
        <v>109</v>
      </c>
      <c r="F9" s="82" t="s">
        <v>16</v>
      </c>
      <c r="G9" s="82" t="s">
        <v>17</v>
      </c>
      <c r="H9" s="82" t="s">
        <v>109</v>
      </c>
      <c r="I9" s="82" t="s">
        <v>110</v>
      </c>
    </row>
    <row r="10" spans="2:11" x14ac:dyDescent="0.3">
      <c r="B10" s="78" t="s">
        <v>18</v>
      </c>
      <c r="C10" s="84">
        <v>282240</v>
      </c>
      <c r="D10" s="84">
        <v>4310</v>
      </c>
      <c r="E10" s="84">
        <v>27100</v>
      </c>
      <c r="F10" s="86" t="e">
        <f>C10*'Resultados 2025'!#REF!</f>
        <v>#REF!</v>
      </c>
      <c r="G10" s="86" t="e">
        <f>D10*'Resultados 2025'!#REF!</f>
        <v>#REF!</v>
      </c>
      <c r="H10" s="86" t="e">
        <f>E10*'Resultados 2025'!#REF!</f>
        <v>#REF!</v>
      </c>
      <c r="I10" s="86" t="e">
        <f>SUM(F10:H10)</f>
        <v>#REF!</v>
      </c>
      <c r="J10" s="89"/>
    </row>
    <row r="11" spans="2:11" x14ac:dyDescent="0.3">
      <c r="B11" s="79" t="s">
        <v>111</v>
      </c>
      <c r="C11" s="87">
        <v>21312</v>
      </c>
      <c r="D11" s="87">
        <v>870</v>
      </c>
      <c r="E11" s="87">
        <v>2100</v>
      </c>
      <c r="F11" s="85" t="e">
        <f>C11*'Resultados 2025'!#REF!</f>
        <v>#REF!</v>
      </c>
      <c r="G11" s="85" t="e">
        <f>D11*'Resultados 2025'!#REF!</f>
        <v>#REF!</v>
      </c>
      <c r="H11" s="85" t="e">
        <f>E11*'Resultados 2025'!#REF!</f>
        <v>#REF!</v>
      </c>
      <c r="I11" s="85" t="e">
        <f t="shared" ref="I11:I72" si="0">SUM(F11:H11)</f>
        <v>#REF!</v>
      </c>
      <c r="J11" s="89"/>
    </row>
    <row r="12" spans="2:11" x14ac:dyDescent="0.3">
      <c r="B12" s="79" t="s">
        <v>112</v>
      </c>
      <c r="C12" s="87">
        <v>166752</v>
      </c>
      <c r="D12" s="87">
        <v>310</v>
      </c>
      <c r="E12" s="87">
        <v>15800</v>
      </c>
      <c r="F12" s="85" t="e">
        <f>C12*'Resultados 2025'!#REF!</f>
        <v>#REF!</v>
      </c>
      <c r="G12" s="85" t="e">
        <f>D12*'Resultados 2025'!#REF!</f>
        <v>#REF!</v>
      </c>
      <c r="H12" s="85" t="e">
        <f>E12*'Resultados 2025'!#REF!</f>
        <v>#REF!</v>
      </c>
      <c r="I12" s="85" t="e">
        <f t="shared" si="0"/>
        <v>#REF!</v>
      </c>
      <c r="J12" s="89"/>
    </row>
    <row r="13" spans="2:11" x14ac:dyDescent="0.3">
      <c r="B13" s="79" t="s">
        <v>113</v>
      </c>
      <c r="C13" s="87">
        <v>30240</v>
      </c>
      <c r="D13" s="87">
        <v>520</v>
      </c>
      <c r="E13" s="87">
        <v>2900</v>
      </c>
      <c r="F13" s="85" t="e">
        <f>C13*'Resultados 2025'!#REF!</f>
        <v>#REF!</v>
      </c>
      <c r="G13" s="85" t="e">
        <f>D13*'Resultados 2025'!#REF!</f>
        <v>#REF!</v>
      </c>
      <c r="H13" s="85" t="e">
        <f>E13*'Resultados 2025'!#REF!</f>
        <v>#REF!</v>
      </c>
      <c r="I13" s="85" t="e">
        <f t="shared" si="0"/>
        <v>#REF!</v>
      </c>
      <c r="J13" s="89"/>
    </row>
    <row r="14" spans="2:11" x14ac:dyDescent="0.3">
      <c r="B14" s="79" t="s">
        <v>114</v>
      </c>
      <c r="C14" s="87">
        <v>21312</v>
      </c>
      <c r="D14" s="87">
        <v>870</v>
      </c>
      <c r="E14" s="87">
        <v>2100</v>
      </c>
      <c r="F14" s="85" t="e">
        <f>C14*'Resultados 2025'!#REF!</f>
        <v>#REF!</v>
      </c>
      <c r="G14" s="85" t="e">
        <f>D14*'Resultados 2025'!#REF!</f>
        <v>#REF!</v>
      </c>
      <c r="H14" s="85" t="e">
        <f>E14*'Resultados 2025'!#REF!</f>
        <v>#REF!</v>
      </c>
      <c r="I14" s="85" t="e">
        <f t="shared" si="0"/>
        <v>#REF!</v>
      </c>
      <c r="J14" s="89"/>
    </row>
    <row r="15" spans="2:11" x14ac:dyDescent="0.3">
      <c r="B15" s="80" t="s">
        <v>115</v>
      </c>
      <c r="C15" s="87">
        <v>21312</v>
      </c>
      <c r="D15" s="87">
        <v>870</v>
      </c>
      <c r="E15" s="87">
        <v>2100</v>
      </c>
      <c r="F15" s="85" t="e">
        <f>C15*'Resultados 2025'!#REF!</f>
        <v>#REF!</v>
      </c>
      <c r="G15" s="85" t="e">
        <f>D15*'Resultados 2025'!#REF!</f>
        <v>#REF!</v>
      </c>
      <c r="H15" s="85" t="e">
        <f>E15*'Resultados 2025'!#REF!</f>
        <v>#REF!</v>
      </c>
      <c r="I15" s="85" t="e">
        <f t="shared" si="0"/>
        <v>#REF!</v>
      </c>
      <c r="J15" s="89"/>
    </row>
    <row r="16" spans="2:11" x14ac:dyDescent="0.3">
      <c r="B16" s="80" t="s">
        <v>116</v>
      </c>
      <c r="C16" s="87">
        <v>21312</v>
      </c>
      <c r="D16" s="87">
        <v>870</v>
      </c>
      <c r="E16" s="87">
        <v>2100</v>
      </c>
      <c r="F16" s="85" t="e">
        <f>C16*'Resultados 2025'!#REF!</f>
        <v>#REF!</v>
      </c>
      <c r="G16" s="85" t="e">
        <f>D16*'Resultados 2025'!#REF!</f>
        <v>#REF!</v>
      </c>
      <c r="H16" s="85" t="e">
        <f>E16*'Resultados 2025'!#REF!</f>
        <v>#REF!</v>
      </c>
      <c r="I16" s="85" t="e">
        <f t="shared" si="0"/>
        <v>#REF!</v>
      </c>
      <c r="J16" s="89"/>
    </row>
    <row r="17" spans="2:10" x14ac:dyDescent="0.3">
      <c r="B17" s="78" t="s">
        <v>25</v>
      </c>
      <c r="C17" s="84">
        <v>1152000</v>
      </c>
      <c r="D17" s="84">
        <v>17470</v>
      </c>
      <c r="E17" s="84">
        <v>110100</v>
      </c>
      <c r="F17" s="86" t="e">
        <f>C17*'Resultados 2025'!#REF!</f>
        <v>#REF!</v>
      </c>
      <c r="G17" s="86" t="e">
        <f>D17*'Resultados 2025'!#REF!</f>
        <v>#REF!</v>
      </c>
      <c r="H17" s="86" t="e">
        <f>E17*'Resultados 2025'!#REF!</f>
        <v>#REF!</v>
      </c>
      <c r="I17" s="86" t="e">
        <f t="shared" si="0"/>
        <v>#REF!</v>
      </c>
      <c r="J17" s="89"/>
    </row>
    <row r="18" spans="2:10" x14ac:dyDescent="0.3">
      <c r="B18" s="79" t="s">
        <v>117</v>
      </c>
      <c r="C18" s="87">
        <v>100656</v>
      </c>
      <c r="D18" s="87">
        <v>420</v>
      </c>
      <c r="E18" s="87">
        <v>9700</v>
      </c>
      <c r="F18" s="85" t="e">
        <f>C18*'Resultados 2025'!#REF!</f>
        <v>#REF!</v>
      </c>
      <c r="G18" s="85" t="e">
        <f>D18*'Resultados 2025'!#REF!</f>
        <v>#REF!</v>
      </c>
      <c r="H18" s="85" t="e">
        <f>E18*'Resultados 2025'!#REF!</f>
        <v>#REF!</v>
      </c>
      <c r="I18" s="85" t="e">
        <f t="shared" si="0"/>
        <v>#REF!</v>
      </c>
      <c r="J18" s="89"/>
    </row>
    <row r="19" spans="2:10" x14ac:dyDescent="0.3">
      <c r="B19" s="79" t="s">
        <v>118</v>
      </c>
      <c r="C19" s="87">
        <v>338688</v>
      </c>
      <c r="D19" s="87">
        <v>1520</v>
      </c>
      <c r="E19" s="87">
        <v>32400</v>
      </c>
      <c r="F19" s="85" t="e">
        <f>C19*'Resultados 2025'!#REF!</f>
        <v>#REF!</v>
      </c>
      <c r="G19" s="85" t="e">
        <f>D19*'Resultados 2025'!#REF!</f>
        <v>#REF!</v>
      </c>
      <c r="H19" s="85" t="e">
        <f>E19*'Resultados 2025'!#REF!</f>
        <v>#REF!</v>
      </c>
      <c r="I19" s="85" t="e">
        <f t="shared" si="0"/>
        <v>#REF!</v>
      </c>
      <c r="J19" s="89"/>
    </row>
    <row r="20" spans="2:10" x14ac:dyDescent="0.3">
      <c r="B20" s="79" t="s">
        <v>119</v>
      </c>
      <c r="C20" s="87">
        <v>383472</v>
      </c>
      <c r="D20" s="87">
        <v>3650</v>
      </c>
      <c r="E20" s="87">
        <v>36000</v>
      </c>
      <c r="F20" s="85" t="e">
        <f>C20*'Resultados 2025'!#REF!</f>
        <v>#REF!</v>
      </c>
      <c r="G20" s="85" t="e">
        <f>D20*'Resultados 2025'!#REF!</f>
        <v>#REF!</v>
      </c>
      <c r="H20" s="85" t="e">
        <f>E20*'Resultados 2025'!#REF!</f>
        <v>#REF!</v>
      </c>
      <c r="I20" s="85" t="e">
        <f t="shared" si="0"/>
        <v>#REF!</v>
      </c>
      <c r="J20" s="89"/>
    </row>
    <row r="21" spans="2:10" x14ac:dyDescent="0.3">
      <c r="B21" s="79" t="s">
        <v>120</v>
      </c>
      <c r="C21" s="87">
        <v>185760</v>
      </c>
      <c r="D21" s="87">
        <v>5750</v>
      </c>
      <c r="E21" s="87">
        <v>17800</v>
      </c>
      <c r="F21" s="85" t="e">
        <f>C21*'Resultados 2025'!#REF!</f>
        <v>#REF!</v>
      </c>
      <c r="G21" s="85" t="e">
        <f>D21*'Resultados 2025'!#REF!</f>
        <v>#REF!</v>
      </c>
      <c r="H21" s="85" t="e">
        <f>E21*'Resultados 2025'!#REF!</f>
        <v>#REF!</v>
      </c>
      <c r="I21" s="85" t="e">
        <f t="shared" si="0"/>
        <v>#REF!</v>
      </c>
      <c r="J21" s="89"/>
    </row>
    <row r="22" spans="2:10" x14ac:dyDescent="0.3">
      <c r="B22" s="79" t="s">
        <v>121</v>
      </c>
      <c r="C22" s="87">
        <v>21168</v>
      </c>
      <c r="D22" s="87">
        <v>860</v>
      </c>
      <c r="E22" s="87">
        <v>2100</v>
      </c>
      <c r="F22" s="85" t="e">
        <f>C22*'Resultados 2025'!#REF!</f>
        <v>#REF!</v>
      </c>
      <c r="G22" s="85" t="e">
        <f>D22*'Resultados 2025'!#REF!</f>
        <v>#REF!</v>
      </c>
      <c r="H22" s="85" t="e">
        <f>E22*'Resultados 2025'!#REF!</f>
        <v>#REF!</v>
      </c>
      <c r="I22" s="85" t="e">
        <f t="shared" si="0"/>
        <v>#REF!</v>
      </c>
      <c r="J22" s="89"/>
    </row>
    <row r="23" spans="2:10" x14ac:dyDescent="0.3">
      <c r="B23" s="80" t="s">
        <v>122</v>
      </c>
      <c r="C23" s="87">
        <v>16416</v>
      </c>
      <c r="D23" s="87">
        <v>970</v>
      </c>
      <c r="E23" s="87">
        <v>1600</v>
      </c>
      <c r="F23" s="85" t="e">
        <f>C23*'Resultados 2025'!#REF!</f>
        <v>#REF!</v>
      </c>
      <c r="G23" s="85" t="e">
        <f>D23*'Resultados 2025'!#REF!</f>
        <v>#REF!</v>
      </c>
      <c r="H23" s="85" t="e">
        <f>E23*'Resultados 2025'!#REF!</f>
        <v>#REF!</v>
      </c>
      <c r="I23" s="85" t="e">
        <f t="shared" si="0"/>
        <v>#REF!</v>
      </c>
      <c r="J23" s="89"/>
    </row>
    <row r="24" spans="2:10" x14ac:dyDescent="0.3">
      <c r="B24" s="80" t="s">
        <v>123</v>
      </c>
      <c r="C24" s="87">
        <v>21168</v>
      </c>
      <c r="D24" s="87">
        <v>860</v>
      </c>
      <c r="E24" s="87">
        <v>2100</v>
      </c>
      <c r="F24" s="85" t="e">
        <f>C24*'Resultados 2025'!#REF!</f>
        <v>#REF!</v>
      </c>
      <c r="G24" s="85" t="e">
        <f>D24*'Resultados 2025'!#REF!</f>
        <v>#REF!</v>
      </c>
      <c r="H24" s="85" t="e">
        <f>E24*'Resultados 2025'!#REF!</f>
        <v>#REF!</v>
      </c>
      <c r="I24" s="85" t="e">
        <f t="shared" si="0"/>
        <v>#REF!</v>
      </c>
      <c r="J24" s="89"/>
    </row>
    <row r="25" spans="2:10" x14ac:dyDescent="0.3">
      <c r="B25" s="80" t="s">
        <v>124</v>
      </c>
      <c r="C25" s="87">
        <v>21168</v>
      </c>
      <c r="D25" s="87">
        <v>860</v>
      </c>
      <c r="E25" s="87">
        <v>2100</v>
      </c>
      <c r="F25" s="85" t="e">
        <f>C25*'Resultados 2025'!#REF!</f>
        <v>#REF!</v>
      </c>
      <c r="G25" s="85" t="e">
        <f>D25*'Resultados 2025'!#REF!</f>
        <v>#REF!</v>
      </c>
      <c r="H25" s="85" t="e">
        <f>E25*'Resultados 2025'!#REF!</f>
        <v>#REF!</v>
      </c>
      <c r="I25" s="85" t="e">
        <f t="shared" si="0"/>
        <v>#REF!</v>
      </c>
      <c r="J25" s="89"/>
    </row>
    <row r="26" spans="2:10" x14ac:dyDescent="0.3">
      <c r="B26" s="80" t="s">
        <v>125</v>
      </c>
      <c r="C26" s="87">
        <v>21168</v>
      </c>
      <c r="D26" s="87">
        <v>860</v>
      </c>
      <c r="E26" s="87">
        <v>2100</v>
      </c>
      <c r="F26" s="85" t="e">
        <f>C26*'Resultados 2025'!#REF!</f>
        <v>#REF!</v>
      </c>
      <c r="G26" s="85" t="e">
        <f>D26*'Resultados 2025'!#REF!</f>
        <v>#REF!</v>
      </c>
      <c r="H26" s="85" t="e">
        <f>E26*'Resultados 2025'!#REF!</f>
        <v>#REF!</v>
      </c>
      <c r="I26" s="85" t="e">
        <f t="shared" si="0"/>
        <v>#REF!</v>
      </c>
      <c r="J26" s="89"/>
    </row>
    <row r="27" spans="2:10" x14ac:dyDescent="0.3">
      <c r="B27" s="80" t="s">
        <v>126</v>
      </c>
      <c r="C27" s="87">
        <v>21168</v>
      </c>
      <c r="D27" s="87">
        <v>860</v>
      </c>
      <c r="E27" s="87">
        <v>2100</v>
      </c>
      <c r="F27" s="85" t="e">
        <f>C27*'Resultados 2025'!#REF!</f>
        <v>#REF!</v>
      </c>
      <c r="G27" s="85" t="e">
        <f>D27*'Resultados 2025'!#REF!</f>
        <v>#REF!</v>
      </c>
      <c r="H27" s="85" t="e">
        <f>E27*'Resultados 2025'!#REF!</f>
        <v>#REF!</v>
      </c>
      <c r="I27" s="85" t="e">
        <f t="shared" si="0"/>
        <v>#REF!</v>
      </c>
      <c r="J27" s="89"/>
    </row>
    <row r="28" spans="2:10" x14ac:dyDescent="0.3">
      <c r="B28" s="80" t="s">
        <v>127</v>
      </c>
      <c r="C28" s="87">
        <v>21168</v>
      </c>
      <c r="D28" s="87">
        <v>860</v>
      </c>
      <c r="E28" s="87">
        <v>2100</v>
      </c>
      <c r="F28" s="85" t="e">
        <f>C28*'Resultados 2025'!#REF!</f>
        <v>#REF!</v>
      </c>
      <c r="G28" s="85" t="e">
        <f>D28*'Resultados 2025'!#REF!</f>
        <v>#REF!</v>
      </c>
      <c r="H28" s="85" t="e">
        <f>E28*'Resultados 2025'!#REF!</f>
        <v>#REF!</v>
      </c>
      <c r="I28" s="85" t="e">
        <f t="shared" si="0"/>
        <v>#REF!</v>
      </c>
      <c r="J28" s="89"/>
    </row>
    <row r="29" spans="2:10" x14ac:dyDescent="0.3">
      <c r="B29" s="78" t="s">
        <v>39</v>
      </c>
      <c r="C29" s="84">
        <v>404496</v>
      </c>
      <c r="D29" s="84">
        <v>9680</v>
      </c>
      <c r="E29" s="84">
        <v>38800</v>
      </c>
      <c r="F29" s="86" t="e">
        <f>C29*'Resultados 2025'!#REF!</f>
        <v>#REF!</v>
      </c>
      <c r="G29" s="86" t="e">
        <f>D29*'Resultados 2025'!#REF!</f>
        <v>#REF!</v>
      </c>
      <c r="H29" s="86" t="e">
        <f>E29*'Resultados 2025'!#REF!</f>
        <v>#REF!</v>
      </c>
      <c r="I29" s="86" t="e">
        <f t="shared" si="0"/>
        <v>#REF!</v>
      </c>
      <c r="J29" s="89"/>
    </row>
    <row r="30" spans="2:10" x14ac:dyDescent="0.3">
      <c r="B30" s="79" t="s">
        <v>128</v>
      </c>
      <c r="C30" s="87">
        <v>155088</v>
      </c>
      <c r="D30" s="87">
        <v>1000</v>
      </c>
      <c r="E30" s="87">
        <v>14500</v>
      </c>
      <c r="F30" s="85" t="e">
        <f>C30*'Resultados 2025'!#REF!</f>
        <v>#REF!</v>
      </c>
      <c r="G30" s="85" t="e">
        <f>D30*'Resultados 2025'!#REF!</f>
        <v>#REF!</v>
      </c>
      <c r="H30" s="85" t="e">
        <f>E30*'Resultados 2025'!#REF!</f>
        <v>#REF!</v>
      </c>
      <c r="I30" s="85" t="e">
        <f t="shared" si="0"/>
        <v>#REF!</v>
      </c>
      <c r="J30" s="89"/>
    </row>
    <row r="31" spans="2:10" x14ac:dyDescent="0.3">
      <c r="B31" s="79" t="s">
        <v>129</v>
      </c>
      <c r="C31" s="87">
        <v>83664</v>
      </c>
      <c r="D31" s="87">
        <v>2350</v>
      </c>
      <c r="E31" s="87">
        <v>8100</v>
      </c>
      <c r="F31" s="85" t="e">
        <f>C31*'Resultados 2025'!#REF!</f>
        <v>#REF!</v>
      </c>
      <c r="G31" s="85" t="e">
        <f>D31*'Resultados 2025'!#REF!</f>
        <v>#REF!</v>
      </c>
      <c r="H31" s="85" t="e">
        <f>E31*'Resultados 2025'!#REF!</f>
        <v>#REF!</v>
      </c>
      <c r="I31" s="85" t="e">
        <f t="shared" si="0"/>
        <v>#REF!</v>
      </c>
      <c r="J31" s="89"/>
    </row>
    <row r="32" spans="2:10" x14ac:dyDescent="0.3">
      <c r="B32" s="79" t="s">
        <v>130</v>
      </c>
      <c r="C32" s="87">
        <v>49248</v>
      </c>
      <c r="D32" s="87">
        <v>2570</v>
      </c>
      <c r="E32" s="87">
        <v>4800</v>
      </c>
      <c r="F32" s="85" t="e">
        <f>C32*'Resultados 2025'!#REF!</f>
        <v>#REF!</v>
      </c>
      <c r="G32" s="85" t="e">
        <f>D32*'Resultados 2025'!#REF!</f>
        <v>#REF!</v>
      </c>
      <c r="H32" s="85" t="e">
        <f>E32*'Resultados 2025'!#REF!</f>
        <v>#REF!</v>
      </c>
      <c r="I32" s="85" t="e">
        <f t="shared" si="0"/>
        <v>#REF!</v>
      </c>
      <c r="J32" s="89"/>
    </row>
    <row r="33" spans="2:10" x14ac:dyDescent="0.3">
      <c r="B33" s="79" t="s">
        <v>131</v>
      </c>
      <c r="C33" s="87">
        <v>31248</v>
      </c>
      <c r="D33" s="87">
        <v>280</v>
      </c>
      <c r="E33" s="87">
        <v>3000</v>
      </c>
      <c r="F33" s="85" t="e">
        <f>C33*'Resultados 2025'!#REF!</f>
        <v>#REF!</v>
      </c>
      <c r="G33" s="85" t="e">
        <f>D33*'Resultados 2025'!#REF!</f>
        <v>#REF!</v>
      </c>
      <c r="H33" s="85" t="e">
        <f>E33*'Resultados 2025'!#REF!</f>
        <v>#REF!</v>
      </c>
      <c r="I33" s="85" t="e">
        <f t="shared" si="0"/>
        <v>#REF!</v>
      </c>
      <c r="J33" s="89"/>
    </row>
    <row r="34" spans="2:10" x14ac:dyDescent="0.3">
      <c r="B34" s="80" t="s">
        <v>132</v>
      </c>
      <c r="C34" s="87">
        <v>21312</v>
      </c>
      <c r="D34" s="87">
        <v>870</v>
      </c>
      <c r="E34" s="87">
        <v>2100</v>
      </c>
      <c r="F34" s="85" t="e">
        <f>C34*'Resultados 2025'!#REF!</f>
        <v>#REF!</v>
      </c>
      <c r="G34" s="85" t="e">
        <f>D34*'Resultados 2025'!#REF!</f>
        <v>#REF!</v>
      </c>
      <c r="H34" s="85" t="e">
        <f>E34*'Resultados 2025'!#REF!</f>
        <v>#REF!</v>
      </c>
      <c r="I34" s="85" t="e">
        <f t="shared" si="0"/>
        <v>#REF!</v>
      </c>
      <c r="J34" s="89"/>
    </row>
    <row r="35" spans="2:10" x14ac:dyDescent="0.3">
      <c r="B35" s="80" t="s">
        <v>133</v>
      </c>
      <c r="C35" s="87">
        <v>21312</v>
      </c>
      <c r="D35" s="87">
        <v>870</v>
      </c>
      <c r="E35" s="87">
        <v>2100</v>
      </c>
      <c r="F35" s="85" t="e">
        <f>C35*'Resultados 2025'!#REF!</f>
        <v>#REF!</v>
      </c>
      <c r="G35" s="85" t="e">
        <f>D35*'Resultados 2025'!#REF!</f>
        <v>#REF!</v>
      </c>
      <c r="H35" s="85" t="e">
        <f>E35*'Resultados 2025'!#REF!</f>
        <v>#REF!</v>
      </c>
      <c r="I35" s="85" t="e">
        <f t="shared" si="0"/>
        <v>#REF!</v>
      </c>
      <c r="J35" s="89"/>
    </row>
    <row r="36" spans="2:10" x14ac:dyDescent="0.3">
      <c r="B36" s="80" t="s">
        <v>134</v>
      </c>
      <c r="C36" s="87">
        <v>21312</v>
      </c>
      <c r="D36" s="87">
        <v>870</v>
      </c>
      <c r="E36" s="87">
        <v>2100</v>
      </c>
      <c r="F36" s="85" t="e">
        <f>C36*'Resultados 2025'!#REF!</f>
        <v>#REF!</v>
      </c>
      <c r="G36" s="85" t="e">
        <f>D36*'Resultados 2025'!#REF!</f>
        <v>#REF!</v>
      </c>
      <c r="H36" s="85" t="e">
        <f>E36*'Resultados 2025'!#REF!</f>
        <v>#REF!</v>
      </c>
      <c r="I36" s="85" t="e">
        <f t="shared" si="0"/>
        <v>#REF!</v>
      </c>
      <c r="J36" s="89"/>
    </row>
    <row r="37" spans="2:10" x14ac:dyDescent="0.3">
      <c r="B37" s="80" t="s">
        <v>135</v>
      </c>
      <c r="C37" s="87">
        <v>21312</v>
      </c>
      <c r="D37" s="87">
        <v>870</v>
      </c>
      <c r="E37" s="87">
        <v>2100</v>
      </c>
      <c r="F37" s="85" t="e">
        <f>C37*'Resultados 2025'!#REF!</f>
        <v>#REF!</v>
      </c>
      <c r="G37" s="85" t="e">
        <f>D37*'Resultados 2025'!#REF!</f>
        <v>#REF!</v>
      </c>
      <c r="H37" s="85" t="e">
        <f>E37*'Resultados 2025'!#REF!</f>
        <v>#REF!</v>
      </c>
      <c r="I37" s="85" t="e">
        <f t="shared" si="0"/>
        <v>#REF!</v>
      </c>
      <c r="J37" s="89"/>
    </row>
    <row r="38" spans="2:10" x14ac:dyDescent="0.3">
      <c r="B38" s="78" t="s">
        <v>50</v>
      </c>
      <c r="C38" s="84">
        <v>400176</v>
      </c>
      <c r="D38" s="84">
        <v>14640</v>
      </c>
      <c r="E38" s="84">
        <v>38400</v>
      </c>
      <c r="F38" s="86" t="e">
        <f>C38*'Resultados 2025'!#REF!</f>
        <v>#REF!</v>
      </c>
      <c r="G38" s="86" t="e">
        <f>D38*'Resultados 2025'!#REF!</f>
        <v>#REF!</v>
      </c>
      <c r="H38" s="86" t="e">
        <f>E38*'Resultados 2025'!#REF!</f>
        <v>#REF!</v>
      </c>
      <c r="I38" s="86" t="e">
        <f t="shared" si="0"/>
        <v>#REF!</v>
      </c>
      <c r="J38" s="89"/>
    </row>
    <row r="39" spans="2:10" x14ac:dyDescent="0.3">
      <c r="B39" s="79" t="s">
        <v>136</v>
      </c>
      <c r="C39" s="87">
        <v>165600</v>
      </c>
      <c r="D39" s="87">
        <v>4590</v>
      </c>
      <c r="E39" s="87">
        <v>15800</v>
      </c>
      <c r="F39" s="85" t="e">
        <f>C39*'Resultados 2025'!#REF!</f>
        <v>#REF!</v>
      </c>
      <c r="G39" s="85" t="e">
        <f>D39*'Resultados 2025'!#REF!</f>
        <v>#REF!</v>
      </c>
      <c r="H39" s="85" t="e">
        <f>E39*'Resultados 2025'!#REF!</f>
        <v>#REF!</v>
      </c>
      <c r="I39" s="85" t="e">
        <f t="shared" si="0"/>
        <v>#REF!</v>
      </c>
      <c r="J39" s="89"/>
    </row>
    <row r="40" spans="2:10" x14ac:dyDescent="0.3">
      <c r="B40" s="79" t="s">
        <v>137</v>
      </c>
      <c r="C40" s="87">
        <v>129168</v>
      </c>
      <c r="D40" s="87">
        <v>6700</v>
      </c>
      <c r="E40" s="87">
        <v>12400</v>
      </c>
      <c r="F40" s="85" t="e">
        <f>C40*'Resultados 2025'!#REF!</f>
        <v>#REF!</v>
      </c>
      <c r="G40" s="85" t="e">
        <f>D40*'Resultados 2025'!#REF!</f>
        <v>#REF!</v>
      </c>
      <c r="H40" s="85" t="e">
        <f>E40*'Resultados 2025'!#REF!</f>
        <v>#REF!</v>
      </c>
      <c r="I40" s="85" t="e">
        <f t="shared" si="0"/>
        <v>#REF!</v>
      </c>
      <c r="J40" s="89"/>
    </row>
    <row r="41" spans="2:10" x14ac:dyDescent="0.3">
      <c r="B41" s="79" t="s">
        <v>138</v>
      </c>
      <c r="C41" s="87">
        <v>105408</v>
      </c>
      <c r="D41" s="87">
        <v>3350</v>
      </c>
      <c r="E41" s="87">
        <v>10200</v>
      </c>
      <c r="F41" s="85" t="e">
        <f>C41*'Resultados 2025'!#REF!</f>
        <v>#REF!</v>
      </c>
      <c r="G41" s="85" t="e">
        <f>D41*'Resultados 2025'!#REF!</f>
        <v>#REF!</v>
      </c>
      <c r="H41" s="85" t="e">
        <f>E41*'Resultados 2025'!#REF!</f>
        <v>#REF!</v>
      </c>
      <c r="I41" s="85" t="e">
        <f t="shared" si="0"/>
        <v>#REF!</v>
      </c>
      <c r="J41" s="89"/>
    </row>
    <row r="42" spans="2:10" x14ac:dyDescent="0.3">
      <c r="B42" s="78" t="s">
        <v>56</v>
      </c>
      <c r="C42" s="84">
        <v>25488</v>
      </c>
      <c r="D42" s="84">
        <v>900</v>
      </c>
      <c r="E42" s="84">
        <v>2500</v>
      </c>
      <c r="F42" s="86" t="e">
        <f>C42*'Resultados 2025'!#REF!</f>
        <v>#REF!</v>
      </c>
      <c r="G42" s="86" t="e">
        <f>D42*'Resultados 2025'!#REF!</f>
        <v>#REF!</v>
      </c>
      <c r="H42" s="86" t="e">
        <f>E42*'Resultados 2025'!#REF!</f>
        <v>#REF!</v>
      </c>
      <c r="I42" s="86" t="e">
        <f t="shared" si="0"/>
        <v>#REF!</v>
      </c>
      <c r="J42" s="89"/>
    </row>
    <row r="43" spans="2:10" x14ac:dyDescent="0.3">
      <c r="B43" s="79" t="s">
        <v>139</v>
      </c>
      <c r="C43" s="87">
        <v>4320</v>
      </c>
      <c r="D43" s="87">
        <v>40</v>
      </c>
      <c r="E43" s="87">
        <v>500</v>
      </c>
      <c r="F43" s="85" t="e">
        <f>C43*'Resultados 2025'!#REF!</f>
        <v>#REF!</v>
      </c>
      <c r="G43" s="85" t="e">
        <f>D43*'Resultados 2025'!#REF!</f>
        <v>#REF!</v>
      </c>
      <c r="H43" s="85" t="e">
        <f>E43*'Resultados 2025'!#REF!</f>
        <v>#REF!</v>
      </c>
      <c r="I43" s="85" t="e">
        <f t="shared" si="0"/>
        <v>#REF!</v>
      </c>
      <c r="J43" s="89"/>
    </row>
    <row r="44" spans="2:10" x14ac:dyDescent="0.3">
      <c r="B44" s="79" t="s">
        <v>140</v>
      </c>
      <c r="C44" s="87">
        <v>21168</v>
      </c>
      <c r="D44" s="87">
        <v>860</v>
      </c>
      <c r="E44" s="87">
        <v>2000</v>
      </c>
      <c r="F44" s="85" t="e">
        <f>C44*'Resultados 2025'!#REF!</f>
        <v>#REF!</v>
      </c>
      <c r="G44" s="85" t="e">
        <f>D44*'Resultados 2025'!#REF!</f>
        <v>#REF!</v>
      </c>
      <c r="H44" s="85" t="e">
        <f>E44*'Resultados 2025'!#REF!</f>
        <v>#REF!</v>
      </c>
      <c r="I44" s="85" t="e">
        <f t="shared" si="0"/>
        <v>#REF!</v>
      </c>
      <c r="J44" s="89"/>
    </row>
    <row r="45" spans="2:10" x14ac:dyDescent="0.3">
      <c r="B45" s="78" t="s">
        <v>61</v>
      </c>
      <c r="C45" s="84">
        <f>C42+C38+C29+C17+C10</f>
        <v>2264400</v>
      </c>
      <c r="D45" s="84">
        <f>D42+D38+D29+D17+D10</f>
        <v>47000</v>
      </c>
      <c r="E45" s="84">
        <f>E42+E38+E29+E17+E10</f>
        <v>216900</v>
      </c>
      <c r="F45" s="86" t="e">
        <f t="shared" ref="F45:H45" si="1">F42+F38+F29+F17+F10</f>
        <v>#REF!</v>
      </c>
      <c r="G45" s="86" t="e">
        <f t="shared" si="1"/>
        <v>#REF!</v>
      </c>
      <c r="H45" s="86" t="e">
        <f t="shared" si="1"/>
        <v>#REF!</v>
      </c>
      <c r="I45" s="86" t="e">
        <f t="shared" ref="I45" si="2">I42+I38+I29+I17+I10</f>
        <v>#REF!</v>
      </c>
    </row>
    <row r="46" spans="2:10" x14ac:dyDescent="0.3">
      <c r="B46" s="81" t="s">
        <v>62</v>
      </c>
      <c r="C46" s="83" t="e">
        <f>CEILING('Presupuesto proyectado'!C$16*(Población!P30/Población!P$56),144)</f>
        <v>#REF!</v>
      </c>
      <c r="D46" s="83" t="e">
        <f>CEILING('Presupuesto proyectado'!E$16*(Población!U30/Población!U$56),10)</f>
        <v>#REF!</v>
      </c>
      <c r="E46" s="83" t="e">
        <f>CEILING('Presupuesto proyectado'!G$16*(Población!Z30/Población!Z$56),100)</f>
        <v>#REF!</v>
      </c>
      <c r="F46" s="85" t="e">
        <f>C46*'Resultados 2025'!#REF!</f>
        <v>#REF!</v>
      </c>
      <c r="G46" s="85" t="e">
        <f>D46*'Resultados 2025'!#REF!</f>
        <v>#REF!</v>
      </c>
      <c r="H46" s="85" t="e">
        <f>E46*'Resultados 2025'!#REF!</f>
        <v>#REF!</v>
      </c>
      <c r="I46" s="85" t="e">
        <f t="shared" si="0"/>
        <v>#REF!</v>
      </c>
    </row>
    <row r="47" spans="2:10" x14ac:dyDescent="0.3">
      <c r="B47" s="81" t="s">
        <v>63</v>
      </c>
      <c r="C47" s="83" t="e">
        <f>CEILING('Presupuesto proyectado'!C$16*(Población!P31/Población!P$56),144)</f>
        <v>#REF!</v>
      </c>
      <c r="D47" s="83" t="e">
        <f>CEILING('Presupuesto proyectado'!E$16*(Población!U31/Población!U$56),10)</f>
        <v>#REF!</v>
      </c>
      <c r="E47" s="83" t="e">
        <f>CEILING('Presupuesto proyectado'!G$16*(Población!Z31/Población!Z$56),100)</f>
        <v>#REF!</v>
      </c>
      <c r="F47" s="85" t="e">
        <f>C47*'Resultados 2025'!#REF!</f>
        <v>#REF!</v>
      </c>
      <c r="G47" s="85" t="e">
        <f>D47*'Resultados 2025'!#REF!</f>
        <v>#REF!</v>
      </c>
      <c r="H47" s="85" t="e">
        <f>E47*'Resultados 2025'!#REF!</f>
        <v>#REF!</v>
      </c>
      <c r="I47" s="85" t="e">
        <f t="shared" si="0"/>
        <v>#REF!</v>
      </c>
    </row>
    <row r="48" spans="2:10" x14ac:dyDescent="0.3">
      <c r="B48" s="81" t="s">
        <v>64</v>
      </c>
      <c r="C48" s="83" t="e">
        <f>CEILING('Presupuesto proyectado'!C$16*(Población!P32/Población!P$56),144)</f>
        <v>#REF!</v>
      </c>
      <c r="D48" s="83" t="e">
        <f>CEILING('Presupuesto proyectado'!E$16*(Población!U32/Población!U$56),10)</f>
        <v>#REF!</v>
      </c>
      <c r="E48" s="83" t="e">
        <f>CEILING('Presupuesto proyectado'!G$16*(Población!Z32/Población!Z$56),100)</f>
        <v>#REF!</v>
      </c>
      <c r="F48" s="85" t="e">
        <f>C48*'Resultados 2025'!#REF!</f>
        <v>#REF!</v>
      </c>
      <c r="G48" s="85" t="e">
        <f>D48*'Resultados 2025'!#REF!</f>
        <v>#REF!</v>
      </c>
      <c r="H48" s="85" t="e">
        <f>E48*'Resultados 2025'!#REF!</f>
        <v>#REF!</v>
      </c>
      <c r="I48" s="85" t="e">
        <f t="shared" si="0"/>
        <v>#REF!</v>
      </c>
    </row>
    <row r="49" spans="2:9" x14ac:dyDescent="0.3">
      <c r="B49" s="81" t="s">
        <v>65</v>
      </c>
      <c r="C49" s="83" t="e">
        <f>CEILING('Presupuesto proyectado'!C$16*(Población!P33/Población!P$56),144)</f>
        <v>#REF!</v>
      </c>
      <c r="D49" s="83" t="e">
        <f>CEILING('Presupuesto proyectado'!E$16*(Población!U33/Población!U$56),10)</f>
        <v>#REF!</v>
      </c>
      <c r="E49" s="83" t="e">
        <f>CEILING('Presupuesto proyectado'!G$16*(Población!Z33/Población!Z$56),100)</f>
        <v>#REF!</v>
      </c>
      <c r="F49" s="85" t="e">
        <f>C49*'Resultados 2025'!#REF!</f>
        <v>#REF!</v>
      </c>
      <c r="G49" s="85" t="e">
        <f>D49*'Resultados 2025'!#REF!</f>
        <v>#REF!</v>
      </c>
      <c r="H49" s="85" t="e">
        <f>E49*'Resultados 2025'!#REF!</f>
        <v>#REF!</v>
      </c>
      <c r="I49" s="85" t="e">
        <f t="shared" si="0"/>
        <v>#REF!</v>
      </c>
    </row>
    <row r="50" spans="2:9" x14ac:dyDescent="0.3">
      <c r="B50" s="81" t="s">
        <v>66</v>
      </c>
      <c r="C50" s="83" t="e">
        <f>CEILING('Presupuesto proyectado'!C$16*(Población!P34/Población!P$56),144)</f>
        <v>#REF!</v>
      </c>
      <c r="D50" s="83" t="e">
        <f>'Presupuesto proyectado'!E16-SUM(D46:D49,D51:D65)</f>
        <v>#REF!</v>
      </c>
      <c r="E50" s="83" t="e">
        <f>CEILING('Presupuesto proyectado'!G$16*(Población!Z34/Población!Z$56),100)</f>
        <v>#REF!</v>
      </c>
      <c r="F50" s="85" t="e">
        <f>C50*'Resultados 2025'!#REF!</f>
        <v>#REF!</v>
      </c>
      <c r="G50" s="85" t="e">
        <f>D50*'Resultados 2025'!#REF!</f>
        <v>#REF!</v>
      </c>
      <c r="H50" s="85" t="e">
        <f>E50*'Resultados 2025'!#REF!</f>
        <v>#REF!</v>
      </c>
      <c r="I50" s="85" t="e">
        <f t="shared" si="0"/>
        <v>#REF!</v>
      </c>
    </row>
    <row r="51" spans="2:9" x14ac:dyDescent="0.3">
      <c r="B51" s="81" t="s">
        <v>67</v>
      </c>
      <c r="C51" s="83" t="e">
        <f>CEILING('Presupuesto proyectado'!C$16*(Población!P35/Población!P$56),144)</f>
        <v>#REF!</v>
      </c>
      <c r="D51" s="83" t="e">
        <f>CEILING('Presupuesto proyectado'!E$16*(Población!U35/Población!U$56),10)</f>
        <v>#REF!</v>
      </c>
      <c r="E51" s="83" t="e">
        <f>CEILING('Presupuesto proyectado'!G$16*(Población!Z35/Población!Z$56),100)</f>
        <v>#REF!</v>
      </c>
      <c r="F51" s="85" t="e">
        <f>C51*'Resultados 2025'!#REF!</f>
        <v>#REF!</v>
      </c>
      <c r="G51" s="85" t="e">
        <f>D51*'Resultados 2025'!#REF!</f>
        <v>#REF!</v>
      </c>
      <c r="H51" s="85" t="e">
        <f>E51*'Resultados 2025'!#REF!</f>
        <v>#REF!</v>
      </c>
      <c r="I51" s="85" t="e">
        <f t="shared" si="0"/>
        <v>#REF!</v>
      </c>
    </row>
    <row r="52" spans="2:9" x14ac:dyDescent="0.3">
      <c r="B52" s="81" t="s">
        <v>68</v>
      </c>
      <c r="C52" s="83" t="e">
        <f>CEILING('Presupuesto proyectado'!C$16*(Población!P36/Población!P$56),144)</f>
        <v>#REF!</v>
      </c>
      <c r="D52" s="83" t="e">
        <f>CEILING('Presupuesto proyectado'!E$16*(Población!U36/Población!U$56),10)</f>
        <v>#REF!</v>
      </c>
      <c r="E52" s="83" t="e">
        <f>CEILING('Presupuesto proyectado'!G$16*(Población!Z36/Población!Z$56),100)</f>
        <v>#REF!</v>
      </c>
      <c r="F52" s="85" t="e">
        <f>C52*'Resultados 2025'!#REF!</f>
        <v>#REF!</v>
      </c>
      <c r="G52" s="85" t="e">
        <f>D52*'Resultados 2025'!#REF!</f>
        <v>#REF!</v>
      </c>
      <c r="H52" s="85" t="e">
        <f>E52*'Resultados 2025'!#REF!</f>
        <v>#REF!</v>
      </c>
      <c r="I52" s="85" t="e">
        <f t="shared" si="0"/>
        <v>#REF!</v>
      </c>
    </row>
    <row r="53" spans="2:9" x14ac:dyDescent="0.3">
      <c r="B53" s="81" t="s">
        <v>69</v>
      </c>
      <c r="C53" s="83" t="e">
        <f>CEILING('Presupuesto proyectado'!C$16*(Población!P37/Población!P$56),144)</f>
        <v>#REF!</v>
      </c>
      <c r="D53" s="83" t="e">
        <f>CEILING('Presupuesto proyectado'!E$16*(Población!U37/Población!U$56),10)</f>
        <v>#REF!</v>
      </c>
      <c r="E53" s="83" t="e">
        <f>CEILING('Presupuesto proyectado'!G$16*(Población!Z37/Población!Z$56),100)</f>
        <v>#REF!</v>
      </c>
      <c r="F53" s="85" t="e">
        <f>C53*'Resultados 2025'!#REF!</f>
        <v>#REF!</v>
      </c>
      <c r="G53" s="85" t="e">
        <f>D53*'Resultados 2025'!#REF!</f>
        <v>#REF!</v>
      </c>
      <c r="H53" s="85" t="e">
        <f>E53*'Resultados 2025'!#REF!</f>
        <v>#REF!</v>
      </c>
      <c r="I53" s="85" t="e">
        <f t="shared" si="0"/>
        <v>#REF!</v>
      </c>
    </row>
    <row r="54" spans="2:9" x14ac:dyDescent="0.3">
      <c r="B54" s="81" t="s">
        <v>70</v>
      </c>
      <c r="C54" s="83" t="e">
        <f>CEILING('Presupuesto proyectado'!C$16*(Población!P38/Población!P$56),144)</f>
        <v>#REF!</v>
      </c>
      <c r="D54" s="83" t="e">
        <f>CEILING('Presupuesto proyectado'!E$16*(Población!U38/Población!U$56),10)</f>
        <v>#REF!</v>
      </c>
      <c r="E54" s="83" t="e">
        <f>CEILING('Presupuesto proyectado'!G$16*(Población!Z38/Población!Z$56),100)</f>
        <v>#REF!</v>
      </c>
      <c r="F54" s="85" t="e">
        <f>C54*'Resultados 2025'!#REF!</f>
        <v>#REF!</v>
      </c>
      <c r="G54" s="85" t="e">
        <f>D54*'Resultados 2025'!#REF!</f>
        <v>#REF!</v>
      </c>
      <c r="H54" s="85" t="e">
        <f>E54*'Resultados 2025'!#REF!</f>
        <v>#REF!</v>
      </c>
      <c r="I54" s="85" t="e">
        <f t="shared" si="0"/>
        <v>#REF!</v>
      </c>
    </row>
    <row r="55" spans="2:9" x14ac:dyDescent="0.3">
      <c r="B55" s="81" t="s">
        <v>71</v>
      </c>
      <c r="C55" s="83" t="e">
        <f>CEILING('Presupuesto proyectado'!C$16*(Población!P39/Población!P$56),144)</f>
        <v>#REF!</v>
      </c>
      <c r="D55" s="83" t="e">
        <f>CEILING('Presupuesto proyectado'!E$16*(Población!U39/Población!U$56),10)</f>
        <v>#REF!</v>
      </c>
      <c r="E55" s="83" t="e">
        <f>CEILING('Presupuesto proyectado'!G$16*(Población!Z39/Población!Z$56),100)</f>
        <v>#REF!</v>
      </c>
      <c r="F55" s="85" t="e">
        <f>C55*'Resultados 2025'!#REF!</f>
        <v>#REF!</v>
      </c>
      <c r="G55" s="85" t="e">
        <f>D55*'Resultados 2025'!#REF!</f>
        <v>#REF!</v>
      </c>
      <c r="H55" s="85" t="e">
        <f>E55*'Resultados 2025'!#REF!</f>
        <v>#REF!</v>
      </c>
      <c r="I55" s="85" t="e">
        <f t="shared" si="0"/>
        <v>#REF!</v>
      </c>
    </row>
    <row r="56" spans="2:9" x14ac:dyDescent="0.3">
      <c r="B56" s="81" t="s">
        <v>72</v>
      </c>
      <c r="C56" s="83" t="e">
        <f>CEILING('Presupuesto proyectado'!C$16*(Población!P40/Población!P$56),144)</f>
        <v>#REF!</v>
      </c>
      <c r="D56" s="83" t="e">
        <f>CEILING('Presupuesto proyectado'!E$16*(Población!U40/Población!U$56),10)</f>
        <v>#REF!</v>
      </c>
      <c r="E56" s="83" t="e">
        <f>CEILING('Presupuesto proyectado'!G$16*(Población!Z40/Población!Z$56),100)</f>
        <v>#REF!</v>
      </c>
      <c r="F56" s="85" t="e">
        <f>C56*'Resultados 2025'!#REF!</f>
        <v>#REF!</v>
      </c>
      <c r="G56" s="85" t="e">
        <f>D56*'Resultados 2025'!#REF!</f>
        <v>#REF!</v>
      </c>
      <c r="H56" s="85" t="e">
        <f>E56*'Resultados 2025'!#REF!</f>
        <v>#REF!</v>
      </c>
      <c r="I56" s="85" t="e">
        <f t="shared" si="0"/>
        <v>#REF!</v>
      </c>
    </row>
    <row r="57" spans="2:9" x14ac:dyDescent="0.3">
      <c r="B57" s="81" t="s">
        <v>73</v>
      </c>
      <c r="C57" s="83" t="e">
        <f>CEILING('Presupuesto proyectado'!C$16*(Población!P41/Población!P$56),144)</f>
        <v>#REF!</v>
      </c>
      <c r="D57" s="83" t="e">
        <f>CEILING('Presupuesto proyectado'!E$16*(Población!U41/Población!U$56),10)</f>
        <v>#REF!</v>
      </c>
      <c r="E57" s="83" t="e">
        <f>CEILING('Presupuesto proyectado'!G$16*(Población!Z41/Población!Z$56),100)</f>
        <v>#REF!</v>
      </c>
      <c r="F57" s="85" t="e">
        <f>C57*'Resultados 2025'!#REF!</f>
        <v>#REF!</v>
      </c>
      <c r="G57" s="85" t="e">
        <f>D57*'Resultados 2025'!#REF!</f>
        <v>#REF!</v>
      </c>
      <c r="H57" s="85" t="e">
        <f>E57*'Resultados 2025'!#REF!</f>
        <v>#REF!</v>
      </c>
      <c r="I57" s="85" t="e">
        <f t="shared" si="0"/>
        <v>#REF!</v>
      </c>
    </row>
    <row r="58" spans="2:9" x14ac:dyDescent="0.3">
      <c r="B58" s="81" t="s">
        <v>74</v>
      </c>
      <c r="C58" s="83" t="e">
        <f>CEILING('Presupuesto proyectado'!C$16*(Población!P42/Población!P$56),144)</f>
        <v>#REF!</v>
      </c>
      <c r="D58" s="83" t="e">
        <f>CEILING('Presupuesto proyectado'!E$16*(Población!U42/Población!U$56),10)</f>
        <v>#REF!</v>
      </c>
      <c r="E58" s="83" t="e">
        <f>CEILING('Presupuesto proyectado'!G$16*(Población!Z42/Población!Z$56),100)</f>
        <v>#REF!</v>
      </c>
      <c r="F58" s="85" t="e">
        <f>C58*'Resultados 2025'!#REF!</f>
        <v>#REF!</v>
      </c>
      <c r="G58" s="85" t="e">
        <f>D58*'Resultados 2025'!#REF!</f>
        <v>#REF!</v>
      </c>
      <c r="H58" s="85" t="e">
        <f>E58*'Resultados 2025'!#REF!</f>
        <v>#REF!</v>
      </c>
      <c r="I58" s="85" t="e">
        <f t="shared" si="0"/>
        <v>#REF!</v>
      </c>
    </row>
    <row r="59" spans="2:9" x14ac:dyDescent="0.3">
      <c r="B59" s="81" t="s">
        <v>75</v>
      </c>
      <c r="C59" s="83" t="e">
        <f>CEILING('Presupuesto proyectado'!C$16*(Población!P43/Población!P$56),144)</f>
        <v>#REF!</v>
      </c>
      <c r="D59" s="83" t="e">
        <f>CEILING('Presupuesto proyectado'!E$16*(Población!U43/Población!U$56),10)</f>
        <v>#REF!</v>
      </c>
      <c r="E59" s="83" t="e">
        <f>CEILING('Presupuesto proyectado'!G$16*(Población!Z43/Población!Z$56),100)</f>
        <v>#REF!</v>
      </c>
      <c r="F59" s="85" t="e">
        <f>C59*'Resultados 2025'!#REF!</f>
        <v>#REF!</v>
      </c>
      <c r="G59" s="85" t="e">
        <f>D59*'Resultados 2025'!#REF!</f>
        <v>#REF!</v>
      </c>
      <c r="H59" s="85" t="e">
        <f>E59*'Resultados 2025'!#REF!</f>
        <v>#REF!</v>
      </c>
      <c r="I59" s="85" t="e">
        <f t="shared" si="0"/>
        <v>#REF!</v>
      </c>
    </row>
    <row r="60" spans="2:9" x14ac:dyDescent="0.3">
      <c r="B60" s="81" t="s">
        <v>76</v>
      </c>
      <c r="C60" s="83" t="e">
        <f>'Presupuesto proyectado'!C16-SUM(C46:C59,C61:C65)</f>
        <v>#REF!</v>
      </c>
      <c r="D60" s="83" t="e">
        <f>CEILING('Presupuesto proyectado'!E$16*(Población!U44/Población!U$56),10)</f>
        <v>#REF!</v>
      </c>
      <c r="E60" s="83" t="e">
        <f>'Presupuesto proyectado'!G16-SUM(E46:E59,E61:E65)</f>
        <v>#REF!</v>
      </c>
      <c r="F60" s="85" t="e">
        <f>C60*'Resultados 2025'!#REF!</f>
        <v>#REF!</v>
      </c>
      <c r="G60" s="85" t="e">
        <f>D60*'Resultados 2025'!#REF!</f>
        <v>#REF!</v>
      </c>
      <c r="H60" s="85" t="e">
        <f>E60*'Resultados 2025'!#REF!</f>
        <v>#REF!</v>
      </c>
      <c r="I60" s="85" t="e">
        <f t="shared" si="0"/>
        <v>#REF!</v>
      </c>
    </row>
    <row r="61" spans="2:9" x14ac:dyDescent="0.3">
      <c r="B61" s="81" t="s">
        <v>77</v>
      </c>
      <c r="C61" s="83" t="e">
        <f>CEILING('Presupuesto proyectado'!C$16*(Población!P45/Población!P$56),144)</f>
        <v>#REF!</v>
      </c>
      <c r="D61" s="83" t="e">
        <f>CEILING('Presupuesto proyectado'!E$16*(Población!U45/Población!U$56),10)</f>
        <v>#REF!</v>
      </c>
      <c r="E61" s="83" t="e">
        <f>CEILING('Presupuesto proyectado'!G$16*(Población!Z45/Población!Z$56),100)</f>
        <v>#REF!</v>
      </c>
      <c r="F61" s="85" t="e">
        <f>C61*'Resultados 2025'!#REF!</f>
        <v>#REF!</v>
      </c>
      <c r="G61" s="85" t="e">
        <f>D61*'Resultados 2025'!#REF!</f>
        <v>#REF!</v>
      </c>
      <c r="H61" s="85" t="e">
        <f>E61*'Resultados 2025'!#REF!</f>
        <v>#REF!</v>
      </c>
      <c r="I61" s="85" t="e">
        <f t="shared" si="0"/>
        <v>#REF!</v>
      </c>
    </row>
    <row r="62" spans="2:9" x14ac:dyDescent="0.3">
      <c r="B62" s="81" t="s">
        <v>78</v>
      </c>
      <c r="C62" s="83" t="e">
        <f>CEILING('Presupuesto proyectado'!C$16*(Población!P46/Población!P$56),144)</f>
        <v>#REF!</v>
      </c>
      <c r="D62" s="83" t="e">
        <f>CEILING('Presupuesto proyectado'!E$16*(Población!U46/Población!U$56),10)</f>
        <v>#REF!</v>
      </c>
      <c r="E62" s="83" t="e">
        <f>CEILING('Presupuesto proyectado'!G$16*(Población!Z46/Población!Z$56),100)</f>
        <v>#REF!</v>
      </c>
      <c r="F62" s="85" t="e">
        <f>C62*'Resultados 2025'!#REF!</f>
        <v>#REF!</v>
      </c>
      <c r="G62" s="85" t="e">
        <f>D62*'Resultados 2025'!#REF!</f>
        <v>#REF!</v>
      </c>
      <c r="H62" s="85" t="e">
        <f>E62*'Resultados 2025'!#REF!</f>
        <v>#REF!</v>
      </c>
      <c r="I62" s="85" t="e">
        <f t="shared" si="0"/>
        <v>#REF!</v>
      </c>
    </row>
    <row r="63" spans="2:9" x14ac:dyDescent="0.3">
      <c r="B63" s="81" t="s">
        <v>79</v>
      </c>
      <c r="C63" s="83" t="e">
        <f>CEILING('Presupuesto proyectado'!C$16*(Población!P47/Población!P$56),144)</f>
        <v>#REF!</v>
      </c>
      <c r="D63" s="83" t="e">
        <f>CEILING('Presupuesto proyectado'!E$16*(Población!U47/Población!U$56),10)</f>
        <v>#REF!</v>
      </c>
      <c r="E63" s="83" t="e">
        <f>CEILING('Presupuesto proyectado'!G$16*(Población!Z47/Población!Z$56),100)</f>
        <v>#REF!</v>
      </c>
      <c r="F63" s="85" t="e">
        <f>C63*'Resultados 2025'!#REF!</f>
        <v>#REF!</v>
      </c>
      <c r="G63" s="85" t="e">
        <f>D63*'Resultados 2025'!#REF!</f>
        <v>#REF!</v>
      </c>
      <c r="H63" s="85" t="e">
        <f>E63*'Resultados 2025'!#REF!</f>
        <v>#REF!</v>
      </c>
      <c r="I63" s="85" t="e">
        <f t="shared" si="0"/>
        <v>#REF!</v>
      </c>
    </row>
    <row r="64" spans="2:9" x14ac:dyDescent="0.3">
      <c r="B64" s="81" t="s">
        <v>80</v>
      </c>
      <c r="C64" s="83" t="e">
        <f>CEILING('Presupuesto proyectado'!C$16*(Población!P48/Población!P$56),144)</f>
        <v>#REF!</v>
      </c>
      <c r="D64" s="83" t="e">
        <f>CEILING('Presupuesto proyectado'!E$16*(Población!U48/Población!U$56),10)</f>
        <v>#REF!</v>
      </c>
      <c r="E64" s="83" t="e">
        <f>CEILING('Presupuesto proyectado'!G$16*(Población!Z48/Población!Z$56),100)</f>
        <v>#REF!</v>
      </c>
      <c r="F64" s="85" t="e">
        <f>C64*'Resultados 2025'!#REF!</f>
        <v>#REF!</v>
      </c>
      <c r="G64" s="85" t="e">
        <f>D64*'Resultados 2025'!#REF!</f>
        <v>#REF!</v>
      </c>
      <c r="H64" s="85" t="e">
        <f>E64*'Resultados 2025'!#REF!</f>
        <v>#REF!</v>
      </c>
      <c r="I64" s="85" t="e">
        <f t="shared" si="0"/>
        <v>#REF!</v>
      </c>
    </row>
    <row r="65" spans="2:9" x14ac:dyDescent="0.3">
      <c r="B65" s="81" t="s">
        <v>81</v>
      </c>
      <c r="C65" s="83" t="e">
        <f>CEILING('Presupuesto proyectado'!C$16*(Población!P49/Población!P$56),144)</f>
        <v>#REF!</v>
      </c>
      <c r="D65" s="83" t="e">
        <f>CEILING('Presupuesto proyectado'!E$16*(Población!U49/Población!U$56),10)</f>
        <v>#REF!</v>
      </c>
      <c r="E65" s="83" t="e">
        <f>CEILING('Presupuesto proyectado'!G$16*(Población!Z49/Población!Z$56),100)</f>
        <v>#REF!</v>
      </c>
      <c r="F65" s="85" t="e">
        <f>C65*'Resultados 2025'!#REF!</f>
        <v>#REF!</v>
      </c>
      <c r="G65" s="85" t="e">
        <f>D65*'Resultados 2025'!#REF!</f>
        <v>#REF!</v>
      </c>
      <c r="H65" s="85" t="e">
        <f>E65*'Resultados 2025'!#REF!</f>
        <v>#REF!</v>
      </c>
      <c r="I65" s="85" t="e">
        <f t="shared" si="0"/>
        <v>#REF!</v>
      </c>
    </row>
    <row r="66" spans="2:9" x14ac:dyDescent="0.3">
      <c r="B66" s="78" t="s">
        <v>141</v>
      </c>
      <c r="C66" s="84" t="e">
        <f>SUM(C46:C65)</f>
        <v>#REF!</v>
      </c>
      <c r="D66" s="84" t="e">
        <f t="shared" ref="D66:I66" si="3">SUM(D46:D65)</f>
        <v>#REF!</v>
      </c>
      <c r="E66" s="84" t="e">
        <f t="shared" si="3"/>
        <v>#REF!</v>
      </c>
      <c r="F66" s="86" t="e">
        <f t="shared" si="3"/>
        <v>#REF!</v>
      </c>
      <c r="G66" s="86" t="e">
        <f t="shared" si="3"/>
        <v>#REF!</v>
      </c>
      <c r="H66" s="86" t="e">
        <f t="shared" si="3"/>
        <v>#REF!</v>
      </c>
      <c r="I66" s="86" t="e">
        <f t="shared" si="3"/>
        <v>#REF!</v>
      </c>
    </row>
    <row r="67" spans="2:9" x14ac:dyDescent="0.3">
      <c r="B67" s="81" t="s">
        <v>83</v>
      </c>
      <c r="C67" s="83" t="e">
        <f>CEILING('Presupuesto proyectado'!C$15*(Población!P24/Población!P$55),144)</f>
        <v>#REF!</v>
      </c>
      <c r="D67" s="83" t="e">
        <f>CEILING('Presupuesto proyectado'!E$15*(Población!U24/Población!U$55),10)</f>
        <v>#REF!</v>
      </c>
      <c r="E67" s="83" t="e">
        <f>CEILING('Presupuesto proyectado'!G$15*(Población!Z24/Población!Z$55),100)</f>
        <v>#REF!</v>
      </c>
      <c r="F67" s="85" t="e">
        <f>C67*'Resultados 2025'!#REF!</f>
        <v>#REF!</v>
      </c>
      <c r="G67" s="85" t="e">
        <f>D67*'Resultados 2025'!#REF!</f>
        <v>#REF!</v>
      </c>
      <c r="H67" s="85" t="e">
        <f>E67*'Resultados 2025'!#REF!</f>
        <v>#REF!</v>
      </c>
      <c r="I67" s="85" t="e">
        <f t="shared" si="0"/>
        <v>#REF!</v>
      </c>
    </row>
    <row r="68" spans="2:9" x14ac:dyDescent="0.3">
      <c r="B68" s="81" t="s">
        <v>84</v>
      </c>
      <c r="C68" s="83" t="e">
        <f>'Presupuesto proyectado'!C15-C67-SUM(C69:C72)</f>
        <v>#REF!</v>
      </c>
      <c r="D68" s="83" t="e">
        <f>CEILING('Presupuesto proyectado'!E$15*(Población!U25/Población!U$55),10)</f>
        <v>#REF!</v>
      </c>
      <c r="E68" s="83" t="e">
        <f>'Presupuesto proyectado'!G15-E67-SUM(E69:E72)</f>
        <v>#REF!</v>
      </c>
      <c r="F68" s="85" t="e">
        <f>C68*'Resultados 2025'!#REF!</f>
        <v>#REF!</v>
      </c>
      <c r="G68" s="85" t="e">
        <f>D68*'Resultados 2025'!#REF!</f>
        <v>#REF!</v>
      </c>
      <c r="H68" s="85" t="e">
        <f>E68*'Resultados 2025'!#REF!</f>
        <v>#REF!</v>
      </c>
      <c r="I68" s="85" t="e">
        <f t="shared" si="0"/>
        <v>#REF!</v>
      </c>
    </row>
    <row r="69" spans="2:9" x14ac:dyDescent="0.3">
      <c r="B69" s="81" t="s">
        <v>85</v>
      </c>
      <c r="C69" s="83" t="e">
        <f>CEILING('Presupuesto proyectado'!C$15*(Población!P26/Población!P$55),144)</f>
        <v>#REF!</v>
      </c>
      <c r="D69" s="83" t="e">
        <f>'Presupuesto proyectado'!E15-D71</f>
        <v>#REF!</v>
      </c>
      <c r="E69" s="83" t="e">
        <f>CEILING('Presupuesto proyectado'!G$15*(Población!Z26/Población!Z$55),100)</f>
        <v>#REF!</v>
      </c>
      <c r="F69" s="85" t="e">
        <f>C69*'Resultados 2025'!#REF!</f>
        <v>#REF!</v>
      </c>
      <c r="G69" s="85" t="e">
        <f>D69*'Resultados 2025'!#REF!</f>
        <v>#REF!</v>
      </c>
      <c r="H69" s="85" t="e">
        <f>E69*'Resultados 2025'!#REF!</f>
        <v>#REF!</v>
      </c>
      <c r="I69" s="85" t="e">
        <f t="shared" si="0"/>
        <v>#REF!</v>
      </c>
    </row>
    <row r="70" spans="2:9" x14ac:dyDescent="0.3">
      <c r="B70" s="81" t="s">
        <v>86</v>
      </c>
      <c r="C70" s="83" t="e">
        <f>CEILING('Presupuesto proyectado'!C$15*(Población!P27/Población!P$55),144)</f>
        <v>#REF!</v>
      </c>
      <c r="D70" s="83" t="e">
        <f>CEILING('Presupuesto proyectado'!E$15*(Población!U27/Población!U$55),10)</f>
        <v>#REF!</v>
      </c>
      <c r="E70" s="83" t="e">
        <f>CEILING('Presupuesto proyectado'!G$15*(Población!Z27/Población!Z$55),100)</f>
        <v>#REF!</v>
      </c>
      <c r="F70" s="85" t="e">
        <f>C70*'Resultados 2025'!#REF!</f>
        <v>#REF!</v>
      </c>
      <c r="G70" s="85" t="e">
        <f>D70*'Resultados 2025'!#REF!</f>
        <v>#REF!</v>
      </c>
      <c r="H70" s="85" t="e">
        <f>E70*'Resultados 2025'!#REF!</f>
        <v>#REF!</v>
      </c>
      <c r="I70" s="85" t="e">
        <f t="shared" si="0"/>
        <v>#REF!</v>
      </c>
    </row>
    <row r="71" spans="2:9" x14ac:dyDescent="0.3">
      <c r="B71" s="81" t="s">
        <v>87</v>
      </c>
      <c r="C71" s="83" t="e">
        <f>CEILING('Presupuesto proyectado'!C$15*(Población!P28/Población!P$55),144)</f>
        <v>#REF!</v>
      </c>
      <c r="D71" s="83" t="e">
        <f>CEILING('Presupuesto proyectado'!E$15*(Población!U28/Población!U$55),10)</f>
        <v>#REF!</v>
      </c>
      <c r="E71" s="83" t="e">
        <f>CEILING('Presupuesto proyectado'!G$15*(Población!Z28/Población!Z$55),100)</f>
        <v>#REF!</v>
      </c>
      <c r="F71" s="85" t="e">
        <f>C71*'Resultados 2025'!#REF!</f>
        <v>#REF!</v>
      </c>
      <c r="G71" s="85" t="e">
        <f>D71*'Resultados 2025'!#REF!</f>
        <v>#REF!</v>
      </c>
      <c r="H71" s="85" t="e">
        <f>E71*'Resultados 2025'!#REF!</f>
        <v>#REF!</v>
      </c>
      <c r="I71" s="85" t="e">
        <f t="shared" si="0"/>
        <v>#REF!</v>
      </c>
    </row>
    <row r="72" spans="2:9" x14ac:dyDescent="0.3">
      <c r="B72" s="81" t="s">
        <v>88</v>
      </c>
      <c r="C72" s="83" t="e">
        <f>CEILING('Presupuesto proyectado'!C$15*(Población!P29/Población!P$55),144)</f>
        <v>#REF!</v>
      </c>
      <c r="D72" s="83" t="e">
        <f>CEILING('Presupuesto proyectado'!E$15*(Población!U29/Población!U$55),10)</f>
        <v>#REF!</v>
      </c>
      <c r="E72" s="83" t="e">
        <f>CEILING('Presupuesto proyectado'!G$15*(Población!Z29/Población!Z$55),100)</f>
        <v>#REF!</v>
      </c>
      <c r="F72" s="85" t="e">
        <f>C72*'Resultados 2025'!#REF!</f>
        <v>#REF!</v>
      </c>
      <c r="G72" s="85" t="e">
        <f>D72*'Resultados 2025'!#REF!</f>
        <v>#REF!</v>
      </c>
      <c r="H72" s="85" t="e">
        <f>E72*'Resultados 2025'!#REF!</f>
        <v>#REF!</v>
      </c>
      <c r="I72" s="85" t="e">
        <f t="shared" si="0"/>
        <v>#REF!</v>
      </c>
    </row>
    <row r="73" spans="2:9" x14ac:dyDescent="0.3">
      <c r="B73" s="78" t="s">
        <v>142</v>
      </c>
      <c r="C73" s="84" t="e">
        <f>SUM(C67:C72)</f>
        <v>#REF!</v>
      </c>
      <c r="D73" s="84" t="e">
        <f t="shared" ref="D73:I73" si="4">SUM(D67:D72)</f>
        <v>#REF!</v>
      </c>
      <c r="E73" s="84" t="e">
        <f t="shared" si="4"/>
        <v>#REF!</v>
      </c>
      <c r="F73" s="86" t="e">
        <f t="shared" si="4"/>
        <v>#REF!</v>
      </c>
      <c r="G73" s="86" t="e">
        <f t="shared" si="4"/>
        <v>#REF!</v>
      </c>
      <c r="H73" s="86" t="e">
        <f t="shared" si="4"/>
        <v>#REF!</v>
      </c>
      <c r="I73" s="86" t="e">
        <f t="shared" si="4"/>
        <v>#REF!</v>
      </c>
    </row>
    <row r="74" spans="2:9" x14ac:dyDescent="0.3">
      <c r="B74" s="88" t="s">
        <v>90</v>
      </c>
      <c r="C74" s="84" t="e">
        <f>C73+C66+C45</f>
        <v>#REF!</v>
      </c>
      <c r="D74" s="84" t="e">
        <f t="shared" ref="D74:I74" si="5">D73+D66+D45</f>
        <v>#REF!</v>
      </c>
      <c r="E74" s="84" t="e">
        <f t="shared" si="5"/>
        <v>#REF!</v>
      </c>
      <c r="F74" s="86" t="e">
        <f t="shared" si="5"/>
        <v>#REF!</v>
      </c>
      <c r="G74" s="86" t="e">
        <f t="shared" si="5"/>
        <v>#REF!</v>
      </c>
      <c r="H74" s="86" t="e">
        <f t="shared" si="5"/>
        <v>#REF!</v>
      </c>
      <c r="I74" s="86" t="e">
        <f t="shared" si="5"/>
        <v>#REF!</v>
      </c>
    </row>
  </sheetData>
  <mergeCells count="2">
    <mergeCell ref="C8:E8"/>
    <mergeCell ref="F8:H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B89F-5397-4E91-B06A-4ED31E9455F4}">
  <dimension ref="B3:O19"/>
  <sheetViews>
    <sheetView showGridLines="0" workbookViewId="0">
      <selection activeCell="G14" sqref="G14"/>
    </sheetView>
  </sheetViews>
  <sheetFormatPr baseColWidth="10" defaultColWidth="11.44140625" defaultRowHeight="14.4" x14ac:dyDescent="0.3"/>
  <cols>
    <col min="2" max="2" width="23.21875" bestFit="1" customWidth="1"/>
    <col min="3" max="3" width="13" customWidth="1"/>
    <col min="4" max="4" width="12" bestFit="1" customWidth="1"/>
    <col min="6" max="6" width="11" customWidth="1"/>
    <col min="7" max="7" width="12.77734375" customWidth="1"/>
    <col min="8" max="8" width="10.5546875" bestFit="1" customWidth="1"/>
    <col min="9" max="9" width="12.77734375" customWidth="1"/>
    <col min="10" max="10" width="11.21875" bestFit="1" customWidth="1"/>
    <col min="11" max="11" width="12.5546875" bestFit="1" customWidth="1"/>
    <col min="12" max="12" width="10.5546875" customWidth="1"/>
  </cols>
  <sheetData>
    <row r="3" spans="2:15" x14ac:dyDescent="0.3">
      <c r="B3" s="149" t="s">
        <v>143</v>
      </c>
      <c r="C3" s="152" t="s">
        <v>16</v>
      </c>
      <c r="D3" s="72"/>
      <c r="E3" s="152" t="s">
        <v>17</v>
      </c>
      <c r="F3" s="72"/>
      <c r="G3" s="75" t="s">
        <v>144</v>
      </c>
      <c r="I3" s="151" t="s">
        <v>145</v>
      </c>
      <c r="J3" s="151"/>
      <c r="K3" s="151"/>
    </row>
    <row r="4" spans="2:15" x14ac:dyDescent="0.3">
      <c r="B4" s="150"/>
      <c r="C4" s="153"/>
      <c r="D4" s="73" t="s">
        <v>144</v>
      </c>
      <c r="E4" s="153"/>
      <c r="F4" s="73" t="s">
        <v>144</v>
      </c>
      <c r="G4" s="75" t="s">
        <v>100</v>
      </c>
      <c r="I4" s="151"/>
      <c r="J4" s="151"/>
      <c r="K4" s="151"/>
    </row>
    <row r="5" spans="2:15" x14ac:dyDescent="0.3">
      <c r="B5" s="45" t="s">
        <v>25</v>
      </c>
      <c r="C5" s="69" t="e">
        <f>CEILING(Población!P14/Población!P$53*C$10,144)</f>
        <v>#REF!</v>
      </c>
      <c r="D5" s="70" t="e">
        <f>C5*'Resultados 2025'!#REF!</f>
        <v>#REF!</v>
      </c>
      <c r="E5" s="69" t="e">
        <f>CEILING(Población!U14/Población!U$53*E$10,100)</f>
        <v>#REF!</v>
      </c>
      <c r="F5" s="70" t="e">
        <f>E5*'Resultados 2025'!#REF!</f>
        <v>#REF!</v>
      </c>
      <c r="G5" s="70" t="e">
        <f>F5+D5</f>
        <v>#REF!</v>
      </c>
      <c r="I5" s="151"/>
      <c r="J5" s="151"/>
      <c r="K5" s="151"/>
    </row>
    <row r="6" spans="2:15" x14ac:dyDescent="0.3">
      <c r="B6" s="45" t="s">
        <v>18</v>
      </c>
      <c r="C6" s="69" t="e">
        <f>CEILING(Población!P15/Población!P$53*C$10,144)</f>
        <v>#REF!</v>
      </c>
      <c r="D6" s="70" t="e">
        <f>C6*'Resultados 2025'!#REF!</f>
        <v>#REF!</v>
      </c>
      <c r="E6" s="69" t="e">
        <f>CEILING(Población!U15/Población!U$53*E$10,100)</f>
        <v>#REF!</v>
      </c>
      <c r="F6" s="70" t="e">
        <f>E6*'Resultados 2025'!#REF!</f>
        <v>#REF!</v>
      </c>
      <c r="G6" s="70" t="e">
        <f t="shared" ref="G6:G9" si="0">F6+D6</f>
        <v>#REF!</v>
      </c>
      <c r="I6" s="151"/>
      <c r="J6" s="151"/>
      <c r="K6" s="151"/>
    </row>
    <row r="7" spans="2:15" x14ac:dyDescent="0.3">
      <c r="B7" s="45" t="s">
        <v>56</v>
      </c>
      <c r="C7" s="69" t="e">
        <f>CEILING(Población!P16/Población!P$53*C$10,144)</f>
        <v>#REF!</v>
      </c>
      <c r="D7" s="70" t="e">
        <f>C7*'Resultados 2025'!#REF!</f>
        <v>#REF!</v>
      </c>
      <c r="E7" s="69" t="e">
        <f>CEILING(Población!U16/Población!U$53*E$10,100)</f>
        <v>#REF!</v>
      </c>
      <c r="F7" s="70" t="e">
        <f>E7*'Resultados 2025'!#REF!</f>
        <v>#REF!</v>
      </c>
      <c r="G7" s="70" t="e">
        <f t="shared" si="0"/>
        <v>#REF!</v>
      </c>
      <c r="I7" s="151"/>
      <c r="J7" s="151"/>
      <c r="K7" s="151"/>
    </row>
    <row r="8" spans="2:15" x14ac:dyDescent="0.3">
      <c r="B8" s="45" t="s">
        <v>39</v>
      </c>
      <c r="C8" s="69" t="e">
        <f>CEILING(Población!P17/Población!P$53*C$10,144)</f>
        <v>#REF!</v>
      </c>
      <c r="D8" s="70" t="e">
        <f>C8*'Resultados 2025'!#REF!</f>
        <v>#REF!</v>
      </c>
      <c r="E8" s="69" t="e">
        <f>CEILING(Población!U17/Población!U$53*E$10,100)</f>
        <v>#REF!</v>
      </c>
      <c r="F8" s="70" t="e">
        <f>E8*'Resultados 2025'!#REF!</f>
        <v>#REF!</v>
      </c>
      <c r="G8" s="70" t="e">
        <f t="shared" si="0"/>
        <v>#REF!</v>
      </c>
      <c r="I8" s="151"/>
      <c r="J8" s="151"/>
      <c r="K8" s="151"/>
    </row>
    <row r="9" spans="2:15" x14ac:dyDescent="0.3">
      <c r="B9" s="45" t="s">
        <v>50</v>
      </c>
      <c r="C9" s="69" t="e">
        <f>C10-SUM(C5:C8)</f>
        <v>#REF!</v>
      </c>
      <c r="D9" s="70" t="e">
        <f>C9*'Resultados 2025'!#REF!</f>
        <v>#REF!</v>
      </c>
      <c r="E9" s="69" t="e">
        <f>E10-SUM(E5:E8)</f>
        <v>#REF!</v>
      </c>
      <c r="F9" s="70" t="e">
        <f>E9*'Resultados 2025'!#REF!</f>
        <v>#REF!</v>
      </c>
      <c r="G9" s="70" t="e">
        <f t="shared" si="0"/>
        <v>#REF!</v>
      </c>
      <c r="I9" s="151"/>
      <c r="J9" s="151"/>
      <c r="K9" s="151"/>
    </row>
    <row r="10" spans="2:15" x14ac:dyDescent="0.3">
      <c r="C10" s="46" t="e">
        <f>'Resultados 2025'!#REF!</f>
        <v>#REF!</v>
      </c>
      <c r="D10" s="71" t="e">
        <f>SUM(D5:D9)</f>
        <v>#REF!</v>
      </c>
      <c r="E10" s="46" t="e">
        <f>'Resultados 2025'!#REF!</f>
        <v>#REF!</v>
      </c>
      <c r="F10" s="71" t="e">
        <f>SUM(F5:F9)</f>
        <v>#REF!</v>
      </c>
      <c r="G10" s="71" t="e">
        <f>SUM(G5:G9)</f>
        <v>#REF!</v>
      </c>
      <c r="I10" s="151"/>
      <c r="J10" s="151"/>
      <c r="K10" s="151"/>
    </row>
    <row r="12" spans="2:15" ht="14.55" customHeight="1" x14ac:dyDescent="0.3">
      <c r="B12" s="149" t="s">
        <v>146</v>
      </c>
      <c r="C12" s="152" t="s">
        <v>16</v>
      </c>
      <c r="D12" s="72"/>
      <c r="E12" s="152" t="s">
        <v>17</v>
      </c>
      <c r="F12" s="72"/>
      <c r="G12" s="152" t="s">
        <v>109</v>
      </c>
      <c r="H12" s="72"/>
      <c r="I12" s="152" t="s">
        <v>147</v>
      </c>
      <c r="J12" s="72"/>
      <c r="K12" s="75" t="s">
        <v>144</v>
      </c>
      <c r="M12" s="151" t="s">
        <v>148</v>
      </c>
      <c r="N12" s="151"/>
      <c r="O12" s="151"/>
    </row>
    <row r="13" spans="2:15" x14ac:dyDescent="0.3">
      <c r="B13" s="150"/>
      <c r="C13" s="153"/>
      <c r="D13" s="73" t="s">
        <v>144</v>
      </c>
      <c r="E13" s="153"/>
      <c r="F13" s="73" t="s">
        <v>144</v>
      </c>
      <c r="G13" s="153"/>
      <c r="H13" s="73" t="s">
        <v>144</v>
      </c>
      <c r="I13" s="153"/>
      <c r="J13" s="73" t="s">
        <v>144</v>
      </c>
      <c r="K13" s="75" t="s">
        <v>100</v>
      </c>
      <c r="M13" s="151"/>
      <c r="N13" s="151"/>
      <c r="O13" s="151"/>
    </row>
    <row r="14" spans="2:15" x14ac:dyDescent="0.3">
      <c r="B14" s="64" t="s">
        <v>149</v>
      </c>
      <c r="C14" s="74" t="e">
        <f>'Resultados 2025'!#REF!</f>
        <v>#REF!</v>
      </c>
      <c r="D14" s="70" t="e">
        <f>C14*'Resultados 2025'!#REF!</f>
        <v>#REF!</v>
      </c>
      <c r="E14" s="74" t="e">
        <f>'Resultados 2025'!#REF!</f>
        <v>#REF!</v>
      </c>
      <c r="F14" s="70" t="e">
        <f>E14*'Resultados 2025'!#REF!</f>
        <v>#REF!</v>
      </c>
      <c r="G14" s="74" t="e">
        <f>'Resultados 2025'!#REF!</f>
        <v>#REF!</v>
      </c>
      <c r="H14" s="70" t="e">
        <f>G14*'Resultados 2025'!#REF!</f>
        <v>#REF!</v>
      </c>
      <c r="I14" s="74" t="e">
        <f>'Resultados 2025'!#REF!</f>
        <v>#REF!</v>
      </c>
      <c r="J14" s="70" t="e">
        <f>I14*'Resultados 2025'!#REF!</f>
        <v>#REF!</v>
      </c>
      <c r="K14" s="70" t="e">
        <f>F14+D14+H14+J14</f>
        <v>#REF!</v>
      </c>
      <c r="M14" s="151"/>
      <c r="N14" s="151"/>
      <c r="O14" s="151"/>
    </row>
    <row r="15" spans="2:15" x14ac:dyDescent="0.3">
      <c r="B15" s="64" t="s">
        <v>142</v>
      </c>
      <c r="C15" s="74" t="e">
        <f>'Resultados 2025'!#REF!</f>
        <v>#REF!</v>
      </c>
      <c r="D15" s="70" t="e">
        <f>C15*'Resultados 2025'!#REF!</f>
        <v>#REF!</v>
      </c>
      <c r="E15" s="74" t="e">
        <f>'Resultados 2025'!#REF!</f>
        <v>#REF!</v>
      </c>
      <c r="F15" s="70" t="e">
        <f>E15*'Resultados 2025'!#REF!</f>
        <v>#REF!</v>
      </c>
      <c r="G15" s="74" t="e">
        <f>'Resultados 2025'!#REF!</f>
        <v>#REF!</v>
      </c>
      <c r="H15" s="70" t="e">
        <f>G15*'Resultados 2025'!#REF!</f>
        <v>#REF!</v>
      </c>
      <c r="I15" s="74" t="e">
        <f>'Resultados 2025'!#REF!</f>
        <v>#REF!</v>
      </c>
      <c r="J15" s="70" t="e">
        <f>I15*'Resultados 2025'!#REF!</f>
        <v>#REF!</v>
      </c>
      <c r="K15" s="70" t="e">
        <f t="shared" ref="K15:K16" si="1">F15+D15+H15+J15</f>
        <v>#REF!</v>
      </c>
      <c r="M15" s="151"/>
      <c r="N15" s="151"/>
      <c r="O15" s="151"/>
    </row>
    <row r="16" spans="2:15" x14ac:dyDescent="0.3">
      <c r="B16" s="64" t="s">
        <v>150</v>
      </c>
      <c r="C16" s="74" t="e">
        <f>'Resultados 2025'!#REF!</f>
        <v>#REF!</v>
      </c>
      <c r="D16" s="70" t="e">
        <f>C16*'Resultados 2025'!#REF!</f>
        <v>#REF!</v>
      </c>
      <c r="E16" s="74" t="e">
        <f>'Resultados 2025'!#REF!</f>
        <v>#REF!</v>
      </c>
      <c r="F16" s="70" t="e">
        <f>E16*'Resultados 2025'!#REF!</f>
        <v>#REF!</v>
      </c>
      <c r="G16" s="74" t="e">
        <f>'Resultados 2025'!#REF!</f>
        <v>#REF!</v>
      </c>
      <c r="H16" s="70" t="e">
        <f>G16*'Resultados 2025'!#REF!</f>
        <v>#REF!</v>
      </c>
      <c r="I16" s="74" t="e">
        <f>'Resultados 2025'!#REF!</f>
        <v>#REF!</v>
      </c>
      <c r="J16" s="70" t="e">
        <f>I16*'Resultados 2025'!#REF!</f>
        <v>#REF!</v>
      </c>
      <c r="K16" s="70" t="e">
        <f t="shared" si="1"/>
        <v>#REF!</v>
      </c>
      <c r="M16" s="151"/>
      <c r="N16" s="151"/>
      <c r="O16" s="151"/>
    </row>
    <row r="17" spans="3:15" x14ac:dyDescent="0.3">
      <c r="C17" s="46" t="e">
        <f>SUM(C14:C16)</f>
        <v>#REF!</v>
      </c>
      <c r="D17" s="71" t="e">
        <f>SUM(D12:D16)</f>
        <v>#REF!</v>
      </c>
      <c r="E17" s="46" t="e">
        <f>SUM(E14:E16)</f>
        <v>#REF!</v>
      </c>
      <c r="F17" s="71" t="e">
        <f>SUM(F12:F16)</f>
        <v>#REF!</v>
      </c>
      <c r="G17" s="46" t="e">
        <f>SUM(G14:G16)</f>
        <v>#REF!</v>
      </c>
      <c r="H17" s="71" t="e">
        <f>SUM(H12:H16)</f>
        <v>#REF!</v>
      </c>
      <c r="I17" s="46" t="e">
        <f>SUM(I14:I16)</f>
        <v>#REF!</v>
      </c>
      <c r="J17" s="71" t="e">
        <f>SUM(J12:J16)</f>
        <v>#REF!</v>
      </c>
      <c r="K17" s="71" t="e">
        <f>SUM(K12:K16)</f>
        <v>#REF!</v>
      </c>
      <c r="M17" s="151"/>
      <c r="N17" s="151"/>
      <c r="O17" s="151"/>
    </row>
    <row r="18" spans="3:15" x14ac:dyDescent="0.3">
      <c r="M18" s="151"/>
      <c r="N18" s="151"/>
      <c r="O18" s="151"/>
    </row>
    <row r="19" spans="3:15" x14ac:dyDescent="0.3">
      <c r="M19" s="151"/>
      <c r="N19" s="151"/>
      <c r="O19" s="151"/>
    </row>
  </sheetData>
  <mergeCells count="10">
    <mergeCell ref="B3:B4"/>
    <mergeCell ref="M12:O19"/>
    <mergeCell ref="C12:C13"/>
    <mergeCell ref="E12:E13"/>
    <mergeCell ref="G12:G13"/>
    <mergeCell ref="I12:I13"/>
    <mergeCell ref="B12:B13"/>
    <mergeCell ref="C3:C4"/>
    <mergeCell ref="E3:E4"/>
    <mergeCell ref="I3:K10"/>
  </mergeCells>
  <pageMargins left="0.7" right="0.7" top="0.75" bottom="0.75" header="0.3" footer="0.3"/>
  <ignoredErrors>
    <ignoredError sqref="D9 E10 D17:K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842F-D8FE-4527-8443-80B9FAA4EB80}">
  <dimension ref="A2:H55"/>
  <sheetViews>
    <sheetView showGridLines="0" topLeftCell="A40" zoomScale="143" workbookViewId="0">
      <selection activeCell="B45" sqref="B45:G54"/>
    </sheetView>
  </sheetViews>
  <sheetFormatPr baseColWidth="10" defaultColWidth="11.44140625" defaultRowHeight="14.4" x14ac:dyDescent="0.3"/>
  <cols>
    <col min="1" max="1" width="11.44140625" customWidth="1"/>
    <col min="2" max="2" width="18" customWidth="1"/>
    <col min="3" max="6" width="16.5546875" customWidth="1"/>
  </cols>
  <sheetData>
    <row r="2" spans="1:8" ht="14.55" customHeight="1" x14ac:dyDescent="0.3">
      <c r="B2" s="158" t="s">
        <v>151</v>
      </c>
      <c r="C2" s="158"/>
      <c r="D2" s="158"/>
      <c r="E2" s="158"/>
      <c r="F2" s="158"/>
    </row>
    <row r="3" spans="1:8" ht="14.55" customHeight="1" x14ac:dyDescent="0.3">
      <c r="B3" s="158"/>
      <c r="C3" s="158"/>
      <c r="D3" s="158"/>
      <c r="E3" s="158"/>
      <c r="F3" s="158"/>
    </row>
    <row r="5" spans="1:8" ht="14.55" customHeight="1" x14ac:dyDescent="0.3">
      <c r="B5" s="47"/>
      <c r="C5" s="152" t="s">
        <v>16</v>
      </c>
      <c r="D5" s="152" t="s">
        <v>17</v>
      </c>
      <c r="E5" s="152" t="s">
        <v>109</v>
      </c>
      <c r="F5" s="152" t="s">
        <v>147</v>
      </c>
    </row>
    <row r="6" spans="1:8" x14ac:dyDescent="0.3">
      <c r="B6" s="47"/>
      <c r="C6" s="153"/>
      <c r="D6" s="153"/>
      <c r="E6" s="153"/>
      <c r="F6" s="153"/>
    </row>
    <row r="7" spans="1:8" x14ac:dyDescent="0.3">
      <c r="B7" s="45" t="s">
        <v>152</v>
      </c>
      <c r="C7" s="44">
        <f>Población!P53</f>
        <v>4051051.7039999999</v>
      </c>
      <c r="D7" s="44">
        <f>Población!U53</f>
        <v>30327.149999999998</v>
      </c>
      <c r="E7" s="44">
        <f>Población!Z53</f>
        <v>0</v>
      </c>
      <c r="F7" s="44">
        <f>Población!AE53</f>
        <v>0</v>
      </c>
    </row>
    <row r="8" spans="1:8" ht="21.75" customHeight="1" x14ac:dyDescent="0.3">
      <c r="B8" s="45" t="s">
        <v>149</v>
      </c>
      <c r="C8" s="44">
        <f>Población!P54</f>
        <v>2088341.7569999998</v>
      </c>
      <c r="D8" s="44">
        <f>Población!U54</f>
        <v>21509.25</v>
      </c>
      <c r="E8" s="44">
        <f>Población!Z54</f>
        <v>571622.44117499993</v>
      </c>
      <c r="F8" s="44">
        <f>Población!AE54</f>
        <v>23535.059625000002</v>
      </c>
    </row>
    <row r="9" spans="1:8" x14ac:dyDescent="0.3">
      <c r="B9" s="45" t="s">
        <v>142</v>
      </c>
      <c r="C9" s="44">
        <f>Población!P55</f>
        <v>325364.03999999992</v>
      </c>
      <c r="D9" s="44">
        <f>Población!U55</f>
        <v>3570</v>
      </c>
      <c r="E9" s="44">
        <f>Población!Z55</f>
        <v>64180.309500000003</v>
      </c>
      <c r="F9" s="44">
        <f>Población!AE55</f>
        <v>2783.9835000000003</v>
      </c>
    </row>
    <row r="10" spans="1:8" x14ac:dyDescent="0.3">
      <c r="B10" s="45" t="s">
        <v>150</v>
      </c>
      <c r="C10" s="44">
        <f>Población!P56</f>
        <v>2311013.1545999991</v>
      </c>
      <c r="D10" s="44">
        <f>Población!U56</f>
        <v>18734.856</v>
      </c>
      <c r="E10" s="44">
        <f>Población!Z56</f>
        <v>186109.905555</v>
      </c>
      <c r="F10" s="44">
        <f>Población!AE56</f>
        <v>7580.8330650000007</v>
      </c>
    </row>
    <row r="12" spans="1:8" x14ac:dyDescent="0.3">
      <c r="B12" s="45" t="s">
        <v>153</v>
      </c>
      <c r="C12" s="46">
        <f>SUM(C7:C10)</f>
        <v>8775770.6555999983</v>
      </c>
      <c r="D12" s="46">
        <f t="shared" ref="D12:F12" si="0">SUM(D7:D10)</f>
        <v>74141.255999999994</v>
      </c>
      <c r="E12" s="46">
        <f t="shared" si="0"/>
        <v>821912.65622999985</v>
      </c>
      <c r="F12" s="46">
        <f t="shared" si="0"/>
        <v>33899.876190000003</v>
      </c>
    </row>
    <row r="14" spans="1:8" x14ac:dyDescent="0.3">
      <c r="A14" s="29"/>
      <c r="B14" s="156" t="s">
        <v>154</v>
      </c>
      <c r="C14" s="48">
        <v>3</v>
      </c>
      <c r="D14" s="48">
        <v>3</v>
      </c>
      <c r="E14" s="48">
        <v>3</v>
      </c>
      <c r="F14" s="48">
        <v>3</v>
      </c>
      <c r="G14" s="29" t="s">
        <v>155</v>
      </c>
      <c r="H14" s="29"/>
    </row>
    <row r="15" spans="1:8" x14ac:dyDescent="0.3">
      <c r="A15" s="29"/>
      <c r="B15" s="157"/>
      <c r="C15" s="44">
        <f>C12/12*C14</f>
        <v>2193942.6638999996</v>
      </c>
      <c r="D15" s="44">
        <f t="shared" ref="D15:F15" si="1">D12/12*D14</f>
        <v>18535.313999999998</v>
      </c>
      <c r="E15" s="44">
        <f t="shared" si="1"/>
        <v>205478.16405749996</v>
      </c>
      <c r="F15" s="44">
        <f t="shared" si="1"/>
        <v>8474.9690475000007</v>
      </c>
      <c r="G15" s="29"/>
      <c r="H15" s="29"/>
    </row>
    <row r="16" spans="1:8" x14ac:dyDescent="0.3">
      <c r="A16" s="29"/>
      <c r="G16" s="29"/>
      <c r="H16" s="29"/>
    </row>
    <row r="17" spans="1:8" x14ac:dyDescent="0.3">
      <c r="A17" s="29"/>
      <c r="B17" s="156" t="s">
        <v>156</v>
      </c>
      <c r="C17" s="131" t="s">
        <v>157</v>
      </c>
      <c r="D17" s="49" t="s">
        <v>157</v>
      </c>
      <c r="E17" s="49" t="s">
        <v>157</v>
      </c>
      <c r="F17" s="49" t="s">
        <v>157</v>
      </c>
      <c r="G17" s="29" t="s">
        <v>158</v>
      </c>
      <c r="H17" s="29"/>
    </row>
    <row r="18" spans="1:8" x14ac:dyDescent="0.3">
      <c r="A18" s="29"/>
      <c r="B18" s="157"/>
      <c r="C18" s="44">
        <v>5084588</v>
      </c>
      <c r="D18" s="44">
        <v>16960</v>
      </c>
      <c r="E18" s="44">
        <v>665850</v>
      </c>
      <c r="F18" s="44">
        <v>0</v>
      </c>
      <c r="G18" s="29"/>
      <c r="H18" s="29"/>
    </row>
    <row r="19" spans="1:8" x14ac:dyDescent="0.3">
      <c r="A19" s="29"/>
      <c r="G19" s="29"/>
      <c r="H19" s="29"/>
    </row>
    <row r="20" spans="1:8" x14ac:dyDescent="0.3">
      <c r="A20" s="29"/>
      <c r="B20" s="156" t="s">
        <v>159</v>
      </c>
      <c r="C20" s="49" t="s">
        <v>157</v>
      </c>
      <c r="D20" s="49" t="s">
        <v>157</v>
      </c>
      <c r="E20" s="49" t="s">
        <v>157</v>
      </c>
      <c r="F20" s="49" t="s">
        <v>157</v>
      </c>
      <c r="G20" s="29" t="s">
        <v>158</v>
      </c>
      <c r="H20" s="29"/>
    </row>
    <row r="21" spans="1:8" x14ac:dyDescent="0.3">
      <c r="B21" s="157"/>
      <c r="C21" s="44">
        <v>1090080</v>
      </c>
      <c r="D21" s="44">
        <v>40000</v>
      </c>
      <c r="E21" s="44">
        <v>0</v>
      </c>
      <c r="F21" s="44">
        <v>0</v>
      </c>
    </row>
    <row r="22" spans="1:8" x14ac:dyDescent="0.3">
      <c r="B22" t="s">
        <v>160</v>
      </c>
      <c r="C22" s="132">
        <v>45657</v>
      </c>
      <c r="D22" s="132">
        <v>45657</v>
      </c>
      <c r="E22" s="132">
        <v>45657</v>
      </c>
      <c r="F22" s="132">
        <v>45657</v>
      </c>
    </row>
    <row r="23" spans="1:8" x14ac:dyDescent="0.3">
      <c r="B23" t="s">
        <v>161</v>
      </c>
      <c r="C23" s="44">
        <f>(C12/365)*(C22-C20)</f>
        <v>5986758.6116284924</v>
      </c>
      <c r="D23" s="44">
        <f t="shared" ref="D23:F23" si="2">(D12/365)*(D22-D20)</f>
        <v>50578.55546301369</v>
      </c>
      <c r="E23" s="44">
        <f t="shared" si="2"/>
        <v>560702.05863361631</v>
      </c>
      <c r="F23" s="44">
        <f t="shared" si="2"/>
        <v>23126.216907698632</v>
      </c>
    </row>
    <row r="24" spans="1:8" x14ac:dyDescent="0.3">
      <c r="B24" t="s">
        <v>162</v>
      </c>
      <c r="C24" s="44">
        <f>IF(C21+C18-C23&lt;0,0,C21+C18-C23)</f>
        <v>187909.38837150764</v>
      </c>
      <c r="D24" s="44">
        <f t="shared" ref="D24:F24" si="3">IF(D21+D18-D23&lt;0,0,D21+D18-D23)</f>
        <v>6381.4445369863097</v>
      </c>
      <c r="E24" s="44">
        <f t="shared" si="3"/>
        <v>105147.94136638369</v>
      </c>
      <c r="F24" s="44">
        <f t="shared" si="3"/>
        <v>0</v>
      </c>
    </row>
    <row r="26" spans="1:8" ht="14.55" customHeight="1" x14ac:dyDescent="0.3">
      <c r="B26" s="156" t="s">
        <v>206</v>
      </c>
      <c r="C26" s="49" t="s">
        <v>163</v>
      </c>
      <c r="D26" s="49" t="s">
        <v>163</v>
      </c>
      <c r="E26" s="49" t="s">
        <v>163</v>
      </c>
      <c r="F26" s="49" t="s">
        <v>163</v>
      </c>
      <c r="G26" s="29" t="s">
        <v>164</v>
      </c>
    </row>
    <row r="27" spans="1:8" x14ac:dyDescent="0.3">
      <c r="B27" s="157"/>
      <c r="C27" s="44">
        <f>C12+C15-C24</f>
        <v>10781803.931128491</v>
      </c>
      <c r="D27" s="44">
        <f t="shared" ref="D27:F27" si="4">D12+D15-D24</f>
        <v>86295.125463013683</v>
      </c>
      <c r="E27" s="44">
        <f t="shared" si="4"/>
        <v>922242.87892111612</v>
      </c>
      <c r="F27" s="44">
        <f t="shared" si="4"/>
        <v>42374.845237500005</v>
      </c>
    </row>
    <row r="29" spans="1:8" x14ac:dyDescent="0.3">
      <c r="B29" s="156" t="s">
        <v>165</v>
      </c>
      <c r="C29" s="135">
        <v>5184</v>
      </c>
      <c r="D29" s="135">
        <v>1000</v>
      </c>
      <c r="E29" s="135">
        <v>50</v>
      </c>
      <c r="F29" s="135">
        <v>100</v>
      </c>
      <c r="G29" s="29" t="s">
        <v>166</v>
      </c>
    </row>
    <row r="30" spans="1:8" x14ac:dyDescent="0.3">
      <c r="B30" s="157"/>
      <c r="C30" s="46">
        <f>CEILING((C27),C29)</f>
        <v>10782720</v>
      </c>
      <c r="D30" s="46">
        <f>CEILING((D27),D29)</f>
        <v>87000</v>
      </c>
      <c r="E30" s="46">
        <f>CEILING((E27),E29)</f>
        <v>922250</v>
      </c>
      <c r="F30" s="46">
        <f>CEILING((F27),F29)</f>
        <v>42400</v>
      </c>
      <c r="G30" s="29" t="s">
        <v>167</v>
      </c>
    </row>
    <row r="31" spans="1:8" x14ac:dyDescent="0.3">
      <c r="B31" s="62" t="s">
        <v>168</v>
      </c>
      <c r="C31" s="59">
        <v>0.04</v>
      </c>
      <c r="D31" s="59">
        <v>0.52</v>
      </c>
      <c r="E31" s="59">
        <v>0.02</v>
      </c>
      <c r="F31" s="59">
        <v>2.58</v>
      </c>
    </row>
    <row r="32" spans="1:8" x14ac:dyDescent="0.3">
      <c r="B32" s="60" t="s">
        <v>169</v>
      </c>
      <c r="C32" s="61">
        <f>C31*C30</f>
        <v>431308.79999999999</v>
      </c>
      <c r="D32" s="61">
        <f>D31*D30</f>
        <v>45240</v>
      </c>
      <c r="E32" s="61">
        <f>E31*E30</f>
        <v>18445</v>
      </c>
      <c r="F32" s="61">
        <f>F31*F30</f>
        <v>109392</v>
      </c>
      <c r="G32" s="29" t="s">
        <v>144</v>
      </c>
    </row>
    <row r="34" spans="2:7" x14ac:dyDescent="0.3">
      <c r="C34" s="152" t="s">
        <v>16</v>
      </c>
      <c r="D34" s="152" t="s">
        <v>17</v>
      </c>
      <c r="E34" s="152" t="s">
        <v>109</v>
      </c>
      <c r="F34" s="152" t="s">
        <v>147</v>
      </c>
    </row>
    <row r="35" spans="2:7" x14ac:dyDescent="0.3">
      <c r="C35" s="153"/>
      <c r="D35" s="153"/>
      <c r="E35" s="153"/>
      <c r="F35" s="153"/>
    </row>
    <row r="36" spans="2:7" x14ac:dyDescent="0.3">
      <c r="B36" s="154" t="s">
        <v>152</v>
      </c>
      <c r="C36" s="46">
        <f>CEILING((Población!P53/Población!P$58)*C$30,C$29)</f>
        <v>4981824</v>
      </c>
      <c r="D36" s="46">
        <f>CEILING((Población!U53/Población!U$58)*D$30,D$29)</f>
        <v>36000</v>
      </c>
      <c r="E36" s="46">
        <f>CEILING((Población!Z53/Población!Z$58)*E$30,E$29)</f>
        <v>0</v>
      </c>
      <c r="F36" s="46">
        <f>CEILING((Población!AE53/Población!AE$58)*F$30,F$29)</f>
        <v>0</v>
      </c>
      <c r="G36" s="29" t="s">
        <v>167</v>
      </c>
    </row>
    <row r="37" spans="2:7" x14ac:dyDescent="0.3">
      <c r="B37" s="155"/>
      <c r="C37" s="58">
        <f>C36*C$31</f>
        <v>199272.95999999999</v>
      </c>
      <c r="D37" s="58">
        <f t="shared" ref="D37:F37" si="5">D36*D$31</f>
        <v>18720</v>
      </c>
      <c r="E37" s="58">
        <f t="shared" si="5"/>
        <v>0</v>
      </c>
      <c r="F37" s="58">
        <f t="shared" si="5"/>
        <v>0</v>
      </c>
      <c r="G37" s="29" t="s">
        <v>144</v>
      </c>
    </row>
    <row r="38" spans="2:7" x14ac:dyDescent="0.3">
      <c r="B38" s="154" t="s">
        <v>149</v>
      </c>
      <c r="C38" s="46">
        <f>CEILING((Población!P54/Población!P$58)*C$30,C$29)</f>
        <v>2566080</v>
      </c>
      <c r="D38" s="46">
        <f>CEILING((Población!U54/Población!U$58)*D$30,D$29)</f>
        <v>26000</v>
      </c>
      <c r="E38" s="46">
        <f>CEILING((Población!Z54/Población!Z$58)*E$30,E$29)</f>
        <v>641450</v>
      </c>
      <c r="F38" s="46">
        <f>CEILING((Población!AE54/Población!AE$58)*F$30,F$29)</f>
        <v>29500</v>
      </c>
      <c r="G38" s="29" t="s">
        <v>167</v>
      </c>
    </row>
    <row r="39" spans="2:7" x14ac:dyDescent="0.3">
      <c r="B39" s="155"/>
      <c r="C39" s="58">
        <f>C38*C$31</f>
        <v>102643.2</v>
      </c>
      <c r="D39" s="58">
        <f t="shared" ref="D39:F39" si="6">D38*D$31</f>
        <v>13520</v>
      </c>
      <c r="E39" s="58">
        <f t="shared" si="6"/>
        <v>12829</v>
      </c>
      <c r="F39" s="58">
        <f t="shared" si="6"/>
        <v>76110</v>
      </c>
      <c r="G39" s="29" t="s">
        <v>144</v>
      </c>
    </row>
    <row r="40" spans="2:7" x14ac:dyDescent="0.3">
      <c r="B40" s="154" t="s">
        <v>142</v>
      </c>
      <c r="C40" s="46">
        <f>CEILING((Población!P55/Población!P$58)*C$30,C$29)</f>
        <v>404352</v>
      </c>
      <c r="D40" s="46">
        <f>CEILING((Población!U55/Población!U$58)*D$30,D$29)</f>
        <v>5000</v>
      </c>
      <c r="E40" s="46">
        <f>CEILING((Población!Z55/Población!Z$58)*E$30,E$29)</f>
        <v>72050</v>
      </c>
      <c r="F40" s="46">
        <f>CEILING((Población!AE55/Población!AE$58)*F$30,F$29)</f>
        <v>3500</v>
      </c>
      <c r="G40" s="29" t="s">
        <v>167</v>
      </c>
    </row>
    <row r="41" spans="2:7" x14ac:dyDescent="0.3">
      <c r="B41" s="155"/>
      <c r="C41" s="58">
        <f>C40*C$31</f>
        <v>16174.08</v>
      </c>
      <c r="D41" s="58">
        <f t="shared" ref="D41:F41" si="7">D40*D$31</f>
        <v>2600</v>
      </c>
      <c r="E41" s="58">
        <f t="shared" si="7"/>
        <v>1441</v>
      </c>
      <c r="F41" s="58">
        <f t="shared" si="7"/>
        <v>9030</v>
      </c>
      <c r="G41" s="29" t="s">
        <v>144</v>
      </c>
    </row>
    <row r="42" spans="2:7" x14ac:dyDescent="0.3">
      <c r="B42" s="154" t="s">
        <v>150</v>
      </c>
      <c r="C42" s="46">
        <f>C30-C36-C38-C40</f>
        <v>2830464</v>
      </c>
      <c r="D42" s="46">
        <f>D30-D36-D38-D40</f>
        <v>20000</v>
      </c>
      <c r="E42" s="46">
        <f>E30-E36-E38-E40</f>
        <v>208750</v>
      </c>
      <c r="F42" s="46">
        <f>F30-F36-F38-F40</f>
        <v>9400</v>
      </c>
      <c r="G42" s="29" t="s">
        <v>167</v>
      </c>
    </row>
    <row r="43" spans="2:7" x14ac:dyDescent="0.3">
      <c r="B43" s="155"/>
      <c r="C43" s="58">
        <f>C42*C$31</f>
        <v>113218.56</v>
      </c>
      <c r="D43" s="58">
        <f t="shared" ref="D43:F43" si="8">D42*D$31</f>
        <v>10400</v>
      </c>
      <c r="E43" s="58">
        <f t="shared" si="8"/>
        <v>4175</v>
      </c>
      <c r="F43" s="58">
        <f t="shared" si="8"/>
        <v>24252</v>
      </c>
      <c r="G43" s="29" t="s">
        <v>144</v>
      </c>
    </row>
    <row r="44" spans="2:7" x14ac:dyDescent="0.3">
      <c r="C44" s="63"/>
    </row>
    <row r="45" spans="2:7" x14ac:dyDescent="0.3">
      <c r="C45" s="152" t="s">
        <v>16</v>
      </c>
      <c r="D45" s="152" t="s">
        <v>17</v>
      </c>
      <c r="E45" s="152" t="s">
        <v>109</v>
      </c>
      <c r="F45" s="152" t="s">
        <v>147</v>
      </c>
    </row>
    <row r="46" spans="2:7" x14ac:dyDescent="0.3">
      <c r="C46" s="153"/>
      <c r="D46" s="153"/>
      <c r="E46" s="153"/>
      <c r="F46" s="153"/>
    </row>
    <row r="47" spans="2:7" x14ac:dyDescent="0.3">
      <c r="B47" s="154" t="s">
        <v>97</v>
      </c>
      <c r="C47" s="46">
        <f>Población!N51*C30</f>
        <v>1380021.2688213664</v>
      </c>
      <c r="D47" s="46">
        <v>0</v>
      </c>
      <c r="E47" s="46">
        <f>Población!X51*E30</f>
        <v>676511.42104069865</v>
      </c>
      <c r="F47" s="46">
        <f>Población!AC51*F30</f>
        <v>27929.047028652283</v>
      </c>
      <c r="G47" s="29" t="s">
        <v>167</v>
      </c>
    </row>
    <row r="48" spans="2:7" x14ac:dyDescent="0.3">
      <c r="B48" s="155"/>
      <c r="C48" s="58">
        <f>C47*C$31</f>
        <v>55200.850752854654</v>
      </c>
      <c r="D48" s="58">
        <f t="shared" ref="D48:F48" si="9">D47*D$31</f>
        <v>0</v>
      </c>
      <c r="E48" s="58">
        <f t="shared" si="9"/>
        <v>13530.228420813974</v>
      </c>
      <c r="F48" s="58">
        <f t="shared" si="9"/>
        <v>72056.941333922892</v>
      </c>
      <c r="G48" s="29" t="s">
        <v>144</v>
      </c>
    </row>
    <row r="49" spans="2:7" x14ac:dyDescent="0.3">
      <c r="B49" s="154" t="s">
        <v>98</v>
      </c>
      <c r="C49" s="46">
        <f>Población!L51*C30</f>
        <v>393422.58776665194</v>
      </c>
      <c r="D49" s="46">
        <v>0</v>
      </c>
      <c r="E49" s="46">
        <f>Población!V51*E30</f>
        <v>43059.926086563646</v>
      </c>
      <c r="F49" s="46">
        <f>Población!AA51*F30</f>
        <v>1919.8973977137696</v>
      </c>
      <c r="G49" s="29" t="s">
        <v>167</v>
      </c>
    </row>
    <row r="50" spans="2:7" x14ac:dyDescent="0.3">
      <c r="B50" s="155"/>
      <c r="C50" s="58">
        <f>C49*C$31</f>
        <v>15736.903510666078</v>
      </c>
      <c r="D50" s="58">
        <f t="shared" ref="D50:F50" si="10">D49*D$31</f>
        <v>0</v>
      </c>
      <c r="E50" s="58">
        <f t="shared" si="10"/>
        <v>861.19852173127299</v>
      </c>
      <c r="F50" s="58">
        <f t="shared" si="10"/>
        <v>4953.3352861015255</v>
      </c>
      <c r="G50" s="29" t="s">
        <v>144</v>
      </c>
    </row>
    <row r="51" spans="2:7" x14ac:dyDescent="0.3">
      <c r="B51" s="154" t="s">
        <v>99</v>
      </c>
      <c r="C51" s="46">
        <f>Población!O51*C30</f>
        <v>4342314.330826208</v>
      </c>
      <c r="D51" s="46">
        <f>Población!R51*D30</f>
        <v>72221.215135605482</v>
      </c>
      <c r="E51" s="46">
        <f>Población!W51*E30</f>
        <v>202678.65287273767</v>
      </c>
      <c r="F51" s="46">
        <f>Población!AB51*F30</f>
        <v>12551.055573633939</v>
      </c>
      <c r="G51" s="29" t="s">
        <v>167</v>
      </c>
    </row>
    <row r="52" spans="2:7" x14ac:dyDescent="0.3">
      <c r="B52" s="155"/>
      <c r="C52" s="58">
        <f>C51*C$31</f>
        <v>173692.57323304832</v>
      </c>
      <c r="D52" s="58">
        <f t="shared" ref="D52:F52" si="11">D51*D$31</f>
        <v>37555.031870514853</v>
      </c>
      <c r="E52" s="58">
        <f t="shared" si="11"/>
        <v>4053.5730574547533</v>
      </c>
      <c r="F52" s="58">
        <f t="shared" si="11"/>
        <v>32381.723379975563</v>
      </c>
      <c r="G52" s="29" t="s">
        <v>144</v>
      </c>
    </row>
    <row r="53" spans="2:7" x14ac:dyDescent="0.3">
      <c r="B53" s="154" t="s">
        <v>212</v>
      </c>
      <c r="C53" s="46">
        <f>C30-C47-C49-C51</f>
        <v>4666961.8125857748</v>
      </c>
      <c r="D53" s="46">
        <f>D30-D47-D49-D51</f>
        <v>14778.784864394518</v>
      </c>
      <c r="E53" s="46">
        <f>E30-E47-E49-E51</f>
        <v>0</v>
      </c>
      <c r="F53" s="46">
        <f>F30-F47-F49-F51</f>
        <v>0</v>
      </c>
      <c r="G53" s="29" t="s">
        <v>167</v>
      </c>
    </row>
    <row r="54" spans="2:7" x14ac:dyDescent="0.3">
      <c r="B54" s="155"/>
      <c r="C54" s="58">
        <f>C53*C$31</f>
        <v>186678.472503431</v>
      </c>
      <c r="D54" s="58">
        <f t="shared" ref="D54:F54" si="12">D53*D$31</f>
        <v>7684.9681294851498</v>
      </c>
      <c r="E54" s="58">
        <f t="shared" si="12"/>
        <v>0</v>
      </c>
      <c r="F54" s="58">
        <f t="shared" si="12"/>
        <v>0</v>
      </c>
      <c r="G54" s="29" t="s">
        <v>144</v>
      </c>
    </row>
    <row r="55" spans="2:7" x14ac:dyDescent="0.3">
      <c r="C55" s="74"/>
      <c r="D55" s="74"/>
      <c r="E55" s="74"/>
      <c r="F55" s="74"/>
    </row>
  </sheetData>
  <mergeCells count="26">
    <mergeCell ref="B49:B50"/>
    <mergeCell ref="B51:B52"/>
    <mergeCell ref="B53:B54"/>
    <mergeCell ref="C45:C46"/>
    <mergeCell ref="D45:D46"/>
    <mergeCell ref="E45:E46"/>
    <mergeCell ref="F45:F46"/>
    <mergeCell ref="B47:B48"/>
    <mergeCell ref="B14:B15"/>
    <mergeCell ref="B2:F3"/>
    <mergeCell ref="C5:C6"/>
    <mergeCell ref="D5:D6"/>
    <mergeCell ref="E5:E6"/>
    <mergeCell ref="F5:F6"/>
    <mergeCell ref="B17:B18"/>
    <mergeCell ref="B26:B27"/>
    <mergeCell ref="B20:B21"/>
    <mergeCell ref="B29:B30"/>
    <mergeCell ref="B40:B41"/>
    <mergeCell ref="B42:B43"/>
    <mergeCell ref="E34:E35"/>
    <mergeCell ref="B38:B39"/>
    <mergeCell ref="F34:F35"/>
    <mergeCell ref="B36:B37"/>
    <mergeCell ref="C34:C35"/>
    <mergeCell ref="D34:D35"/>
  </mergeCells>
  <pageMargins left="0.7" right="0.7" top="0.75" bottom="0.75" header="0.3" footer="0.3"/>
  <ignoredErrors>
    <ignoredError sqref="C38:F43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E0A9-47B1-443E-A7F5-6CCB58587DFA}">
  <dimension ref="A2:H48"/>
  <sheetViews>
    <sheetView showGridLines="0" topLeftCell="A36" zoomScale="143" workbookViewId="0">
      <selection activeCell="B38" sqref="B38:G47"/>
    </sheetView>
  </sheetViews>
  <sheetFormatPr baseColWidth="10" defaultColWidth="11.44140625" defaultRowHeight="14.4" x14ac:dyDescent="0.3"/>
  <cols>
    <col min="1" max="1" width="11.44140625" customWidth="1"/>
    <col min="2" max="2" width="18" customWidth="1"/>
    <col min="3" max="6" width="16.5546875" customWidth="1"/>
  </cols>
  <sheetData>
    <row r="2" spans="1:8" ht="14.55" customHeight="1" x14ac:dyDescent="0.3">
      <c r="B2" s="158" t="s">
        <v>151</v>
      </c>
      <c r="C2" s="158"/>
      <c r="D2" s="158"/>
      <c r="E2" s="158"/>
      <c r="F2" s="158"/>
    </row>
    <row r="3" spans="1:8" ht="14.55" customHeight="1" x14ac:dyDescent="0.3">
      <c r="B3" s="158"/>
      <c r="C3" s="158"/>
      <c r="D3" s="158"/>
      <c r="E3" s="158"/>
      <c r="F3" s="158"/>
    </row>
    <row r="5" spans="1:8" ht="14.55" customHeight="1" x14ac:dyDescent="0.3">
      <c r="A5" t="s">
        <v>207</v>
      </c>
      <c r="B5" s="136">
        <f>1000/13000</f>
        <v>7.6923076923076927E-2</v>
      </c>
      <c r="C5" s="152" t="s">
        <v>16</v>
      </c>
      <c r="D5" s="152" t="s">
        <v>17</v>
      </c>
      <c r="E5" s="152" t="s">
        <v>109</v>
      </c>
      <c r="F5" s="152" t="s">
        <v>147</v>
      </c>
    </row>
    <row r="6" spans="1:8" x14ac:dyDescent="0.3">
      <c r="B6" s="47"/>
      <c r="C6" s="153"/>
      <c r="D6" s="153"/>
      <c r="E6" s="153"/>
      <c r="F6" s="153"/>
    </row>
    <row r="7" spans="1:8" x14ac:dyDescent="0.3">
      <c r="B7" s="45" t="s">
        <v>152</v>
      </c>
      <c r="C7" s="44">
        <f>'Resultados 2025'!C7*(100%+'Resultados 2026'!$B$5)</f>
        <v>4362671.0658461535</v>
      </c>
      <c r="D7" s="44">
        <f>'Resultados 2025'!D7*(100%+'Resultados 2026'!$B$5)</f>
        <v>32660.007692307689</v>
      </c>
      <c r="E7" s="44">
        <f>'Resultados 2025'!E7*(100%+'Resultados 2026'!$B$5)</f>
        <v>0</v>
      </c>
      <c r="F7" s="44">
        <f>'Resultados 2025'!F7*(100%+'Resultados 2026'!$B$5)</f>
        <v>0</v>
      </c>
    </row>
    <row r="8" spans="1:8" ht="21.75" customHeight="1" x14ac:dyDescent="0.3">
      <c r="B8" s="45" t="s">
        <v>149</v>
      </c>
      <c r="C8" s="44">
        <f>'Resultados 2025'!C8*(100%+'Resultados 2026'!$B$5)</f>
        <v>2248983.4306153841</v>
      </c>
      <c r="D8" s="44">
        <f>'Resultados 2025'!D8*(100%+'Resultados 2026'!$B$5)</f>
        <v>23163.807692307691</v>
      </c>
      <c r="E8" s="44">
        <f>'Resultados 2025'!E8*(100%+'Resultados 2026'!$B$5)</f>
        <v>615593.39818846143</v>
      </c>
      <c r="F8" s="44">
        <f>'Resultados 2025'!F8*(100%+'Resultados 2026'!$B$5)</f>
        <v>25345.448826923079</v>
      </c>
    </row>
    <row r="9" spans="1:8" x14ac:dyDescent="0.3">
      <c r="B9" s="45" t="s">
        <v>142</v>
      </c>
      <c r="C9" s="44">
        <f>'Resultados 2025'!C9*(100%+'Resultados 2026'!$B$5)</f>
        <v>350392.043076923</v>
      </c>
      <c r="D9" s="44">
        <f>'Resultados 2025'!D9*(100%+'Resultados 2026'!$B$5)</f>
        <v>3844.6153846153843</v>
      </c>
      <c r="E9" s="44">
        <f>'Resultados 2025'!E9*(100%+'Resultados 2026'!$B$5)</f>
        <v>69117.256384615379</v>
      </c>
      <c r="F9" s="44">
        <f>'Resultados 2025'!F9*(100%+'Resultados 2026'!$B$5)</f>
        <v>2998.1360769230769</v>
      </c>
    </row>
    <row r="10" spans="1:8" x14ac:dyDescent="0.3">
      <c r="B10" s="45" t="s">
        <v>150</v>
      </c>
      <c r="C10" s="44">
        <f>'Resultados 2025'!C10*(100%+'Resultados 2026'!$B$5)</f>
        <v>2488783.3972615371</v>
      </c>
      <c r="D10" s="44">
        <f>'Resultados 2025'!D10*(100%+'Resultados 2026'!$B$5)</f>
        <v>20175.99876923077</v>
      </c>
      <c r="E10" s="44">
        <f>'Resultados 2025'!E10*(100%+'Resultados 2026'!$B$5)</f>
        <v>200426.05213615386</v>
      </c>
      <c r="F10" s="44">
        <f>'Resultados 2025'!F10*(100%+'Resultados 2026'!$B$5)</f>
        <v>8163.9740700000002</v>
      </c>
    </row>
    <row r="12" spans="1:8" x14ac:dyDescent="0.3">
      <c r="B12" s="45" t="s">
        <v>153</v>
      </c>
      <c r="C12" s="46">
        <f>SUM(C7:C10)</f>
        <v>9450829.9367999975</v>
      </c>
      <c r="D12" s="46">
        <f t="shared" ref="D12:F12" si="0">SUM(D7:D10)</f>
        <v>79844.429538461525</v>
      </c>
      <c r="E12" s="46">
        <f t="shared" si="0"/>
        <v>885136.70670923078</v>
      </c>
      <c r="F12" s="46">
        <f t="shared" si="0"/>
        <v>36507.558973846157</v>
      </c>
    </row>
    <row r="14" spans="1:8" x14ac:dyDescent="0.3">
      <c r="A14" s="29"/>
      <c r="B14" s="156" t="s">
        <v>154</v>
      </c>
      <c r="C14" s="48">
        <v>3</v>
      </c>
      <c r="D14" s="48">
        <v>3</v>
      </c>
      <c r="E14" s="48">
        <v>3</v>
      </c>
      <c r="F14" s="48">
        <v>3</v>
      </c>
      <c r="G14" s="29" t="s">
        <v>155</v>
      </c>
      <c r="H14" s="29"/>
    </row>
    <row r="15" spans="1:8" x14ac:dyDescent="0.3">
      <c r="A15" s="29"/>
      <c r="B15" s="157"/>
      <c r="C15" s="44">
        <f>C12/12*C14</f>
        <v>2362707.4841999994</v>
      </c>
      <c r="D15" s="44">
        <f t="shared" ref="D15:F15" si="1">D12/12*D14</f>
        <v>19961.107384615381</v>
      </c>
      <c r="E15" s="44">
        <f t="shared" si="1"/>
        <v>221284.1766773077</v>
      </c>
      <c r="F15" s="44">
        <f t="shared" si="1"/>
        <v>9126.8897434615392</v>
      </c>
      <c r="G15" s="29"/>
      <c r="H15" s="29"/>
    </row>
    <row r="16" spans="1:8" x14ac:dyDescent="0.3">
      <c r="A16" s="29"/>
      <c r="G16" s="29"/>
      <c r="H16" s="29"/>
    </row>
    <row r="17" spans="2:7" x14ac:dyDescent="0.3">
      <c r="B17" t="s">
        <v>162</v>
      </c>
      <c r="C17" s="44">
        <f>'Resultados 2025'!C15</f>
        <v>2193942.6638999996</v>
      </c>
      <c r="D17" s="44">
        <f>'Resultados 2025'!D15</f>
        <v>18535.313999999998</v>
      </c>
      <c r="E17" s="44">
        <f>'Resultados 2025'!E15</f>
        <v>205478.16405749996</v>
      </c>
      <c r="F17" s="44">
        <f>'Resultados 2025'!F15</f>
        <v>8474.9690475000007</v>
      </c>
    </row>
    <row r="19" spans="2:7" ht="14.55" customHeight="1" x14ac:dyDescent="0.3">
      <c r="B19" s="156" t="s">
        <v>208</v>
      </c>
      <c r="C19" s="49">
        <v>46387</v>
      </c>
      <c r="D19" s="49">
        <v>46387</v>
      </c>
      <c r="E19" s="49">
        <v>46387</v>
      </c>
      <c r="F19" s="49">
        <v>46387</v>
      </c>
      <c r="G19" s="29" t="s">
        <v>164</v>
      </c>
    </row>
    <row r="20" spans="2:7" x14ac:dyDescent="0.3">
      <c r="B20" s="157"/>
      <c r="C20" s="44">
        <f>C12+C15-C17</f>
        <v>9619594.7570999973</v>
      </c>
      <c r="D20" s="44">
        <f t="shared" ref="D20:F20" si="2">D12+D15-D17</f>
        <v>81270.222923076901</v>
      </c>
      <c r="E20" s="44">
        <f t="shared" si="2"/>
        <v>900942.7193290384</v>
      </c>
      <c r="F20" s="44">
        <f t="shared" si="2"/>
        <v>37159.47966980769</v>
      </c>
    </row>
    <row r="22" spans="2:7" x14ac:dyDescent="0.3">
      <c r="B22" s="156" t="s">
        <v>170</v>
      </c>
      <c r="C22" s="135">
        <v>5184</v>
      </c>
      <c r="D22" s="135">
        <v>1000</v>
      </c>
      <c r="E22" s="135">
        <v>100</v>
      </c>
      <c r="F22" s="135">
        <v>100</v>
      </c>
      <c r="G22" s="29" t="s">
        <v>166</v>
      </c>
    </row>
    <row r="23" spans="2:7" x14ac:dyDescent="0.3">
      <c r="B23" s="157"/>
      <c r="C23" s="46">
        <f>CEILING((C20),C22)</f>
        <v>9621504</v>
      </c>
      <c r="D23" s="46">
        <f>CEILING((D20),D22)</f>
        <v>82000</v>
      </c>
      <c r="E23" s="46">
        <f>CEILING((E20),E22)</f>
        <v>901000</v>
      </c>
      <c r="F23" s="46">
        <f>CEILING((F20),F22)</f>
        <v>37200</v>
      </c>
      <c r="G23" s="29" t="s">
        <v>167</v>
      </c>
    </row>
    <row r="24" spans="2:7" x14ac:dyDescent="0.3">
      <c r="B24" s="62" t="s">
        <v>168</v>
      </c>
      <c r="C24" s="59">
        <v>0.04</v>
      </c>
      <c r="D24" s="59">
        <v>0.52</v>
      </c>
      <c r="E24" s="59">
        <v>0.02</v>
      </c>
      <c r="F24" s="59">
        <v>2.58</v>
      </c>
    </row>
    <row r="25" spans="2:7" x14ac:dyDescent="0.3">
      <c r="B25" s="60" t="s">
        <v>169</v>
      </c>
      <c r="C25" s="61">
        <f>C24*C23</f>
        <v>384860.16000000003</v>
      </c>
      <c r="D25" s="61">
        <f>D24*D23</f>
        <v>42640</v>
      </c>
      <c r="E25" s="61">
        <f>E24*E23</f>
        <v>18020</v>
      </c>
      <c r="F25" s="61">
        <f>F24*F23</f>
        <v>95976</v>
      </c>
      <c r="G25" s="29" t="s">
        <v>144</v>
      </c>
    </row>
    <row r="27" spans="2:7" x14ac:dyDescent="0.3">
      <c r="C27" s="152" t="s">
        <v>16</v>
      </c>
      <c r="D27" s="152" t="s">
        <v>17</v>
      </c>
      <c r="E27" s="152" t="s">
        <v>109</v>
      </c>
      <c r="F27" s="152" t="s">
        <v>147</v>
      </c>
    </row>
    <row r="28" spans="2:7" x14ac:dyDescent="0.3">
      <c r="C28" s="153"/>
      <c r="D28" s="153"/>
      <c r="E28" s="153"/>
      <c r="F28" s="153"/>
    </row>
    <row r="29" spans="2:7" x14ac:dyDescent="0.3">
      <c r="B29" s="154" t="s">
        <v>152</v>
      </c>
      <c r="C29" s="46">
        <f>CEILING((Población!P53/Población!P$58)*C$23,C$22)</f>
        <v>4442688</v>
      </c>
      <c r="D29" s="46">
        <f>CEILING((Población!U53/Población!U$58)*D$23,D$22)</f>
        <v>34000</v>
      </c>
      <c r="E29" s="46">
        <f>CEILING((Población!Z53/Población!Z$58)*E$23,E$22)</f>
        <v>0</v>
      </c>
      <c r="F29" s="46">
        <f>CEILING((Población!AE53/Población!AE$58)*F$23,F$22)</f>
        <v>0</v>
      </c>
      <c r="G29" s="29" t="s">
        <v>167</v>
      </c>
    </row>
    <row r="30" spans="2:7" x14ac:dyDescent="0.3">
      <c r="B30" s="155"/>
      <c r="C30" s="58">
        <f>C29*C$24</f>
        <v>177707.51999999999</v>
      </c>
      <c r="D30" s="58">
        <f t="shared" ref="D30:F30" si="3">D29*D$24</f>
        <v>17680</v>
      </c>
      <c r="E30" s="58">
        <f t="shared" si="3"/>
        <v>0</v>
      </c>
      <c r="F30" s="58">
        <f t="shared" si="3"/>
        <v>0</v>
      </c>
      <c r="G30" s="29" t="s">
        <v>144</v>
      </c>
    </row>
    <row r="31" spans="2:7" x14ac:dyDescent="0.3">
      <c r="B31" s="154" t="s">
        <v>149</v>
      </c>
      <c r="C31" s="46">
        <f>CEILING((Población!P54/Población!P$58)*C$23,C$22)</f>
        <v>2291328</v>
      </c>
      <c r="D31" s="46">
        <f>CEILING((Población!U54/Población!U$58)*D$23,D$22)</f>
        <v>24000</v>
      </c>
      <c r="E31" s="46">
        <f>CEILING((Población!Z54/Población!Z$58)*E$23,E$22)</f>
        <v>626700</v>
      </c>
      <c r="F31" s="46">
        <f>CEILING((Población!AE54/Población!AE$58)*F$23,F$22)</f>
        <v>25900</v>
      </c>
      <c r="G31" s="29" t="s">
        <v>167</v>
      </c>
    </row>
    <row r="32" spans="2:7" x14ac:dyDescent="0.3">
      <c r="B32" s="155"/>
      <c r="C32" s="58">
        <f>C31*C$24</f>
        <v>91653.119999999995</v>
      </c>
      <c r="D32" s="58">
        <f t="shared" ref="D32:F32" si="4">D31*D$24</f>
        <v>12480</v>
      </c>
      <c r="E32" s="58">
        <f t="shared" si="4"/>
        <v>12534</v>
      </c>
      <c r="F32" s="58">
        <f t="shared" si="4"/>
        <v>66822</v>
      </c>
      <c r="G32" s="29" t="s">
        <v>144</v>
      </c>
    </row>
    <row r="33" spans="2:7" x14ac:dyDescent="0.3">
      <c r="B33" s="154" t="s">
        <v>142</v>
      </c>
      <c r="C33" s="46">
        <f>CEILING((Población!P55/Población!P$58)*C$23,C$22)</f>
        <v>357696</v>
      </c>
      <c r="D33" s="46">
        <f>CEILING((Población!U55/Población!U$58)*D$23,D$22)</f>
        <v>4000</v>
      </c>
      <c r="E33" s="46">
        <f>CEILING((Población!Z55/Población!Z$58)*E$23,E$22)</f>
        <v>70400</v>
      </c>
      <c r="F33" s="46">
        <f>CEILING((Población!AE55/Población!AE$58)*F$23,F$22)</f>
        <v>3100</v>
      </c>
      <c r="G33" s="29" t="s">
        <v>167</v>
      </c>
    </row>
    <row r="34" spans="2:7" x14ac:dyDescent="0.3">
      <c r="B34" s="155"/>
      <c r="C34" s="58">
        <f>C33*C$24</f>
        <v>14307.84</v>
      </c>
      <c r="D34" s="58">
        <f t="shared" ref="D34:F34" si="5">D33*D$24</f>
        <v>2080</v>
      </c>
      <c r="E34" s="58">
        <f t="shared" si="5"/>
        <v>1408</v>
      </c>
      <c r="F34" s="58">
        <f t="shared" si="5"/>
        <v>7998</v>
      </c>
      <c r="G34" s="29" t="s">
        <v>144</v>
      </c>
    </row>
    <row r="35" spans="2:7" x14ac:dyDescent="0.3">
      <c r="B35" s="154" t="s">
        <v>150</v>
      </c>
      <c r="C35" s="46">
        <f>C23-C29-C31-C33</f>
        <v>2529792</v>
      </c>
      <c r="D35" s="46">
        <f>D23-D29-D31-D33</f>
        <v>20000</v>
      </c>
      <c r="E35" s="46">
        <f>E23-E29-E31-E33</f>
        <v>203900</v>
      </c>
      <c r="F35" s="46">
        <f>F23-F29-F31-F33</f>
        <v>8200</v>
      </c>
      <c r="G35" s="29" t="s">
        <v>167</v>
      </c>
    </row>
    <row r="36" spans="2:7" x14ac:dyDescent="0.3">
      <c r="B36" s="155"/>
      <c r="C36" s="58">
        <f>C35*C$24</f>
        <v>101191.68000000001</v>
      </c>
      <c r="D36" s="58">
        <f t="shared" ref="D36:F36" si="6">D35*D$24</f>
        <v>10400</v>
      </c>
      <c r="E36" s="58">
        <f t="shared" si="6"/>
        <v>4078</v>
      </c>
      <c r="F36" s="58">
        <f t="shared" si="6"/>
        <v>21156</v>
      </c>
      <c r="G36" s="29" t="s">
        <v>144</v>
      </c>
    </row>
    <row r="37" spans="2:7" x14ac:dyDescent="0.3">
      <c r="C37" s="63"/>
    </row>
    <row r="38" spans="2:7" x14ac:dyDescent="0.3">
      <c r="C38" s="152" t="s">
        <v>16</v>
      </c>
      <c r="D38" s="152" t="s">
        <v>17</v>
      </c>
      <c r="E38" s="152" t="s">
        <v>109</v>
      </c>
      <c r="F38" s="152" t="s">
        <v>147</v>
      </c>
    </row>
    <row r="39" spans="2:7" x14ac:dyDescent="0.3">
      <c r="C39" s="153"/>
      <c r="D39" s="153"/>
      <c r="E39" s="153"/>
      <c r="F39" s="153"/>
    </row>
    <row r="40" spans="2:7" x14ac:dyDescent="0.3">
      <c r="B40" s="154" t="s">
        <v>97</v>
      </c>
      <c r="C40" s="46">
        <f>Población!N51*C23</f>
        <v>1231403.5937175269</v>
      </c>
      <c r="D40" s="46">
        <v>0</v>
      </c>
      <c r="E40" s="46">
        <f>Población!X51*E23</f>
        <v>660923.60027939221</v>
      </c>
      <c r="F40" s="46">
        <f>Población!AC51*F23</f>
        <v>24503.786544006249</v>
      </c>
      <c r="G40" s="29" t="s">
        <v>167</v>
      </c>
    </row>
    <row r="41" spans="2:7" x14ac:dyDescent="0.3">
      <c r="B41" s="155"/>
      <c r="C41" s="58">
        <f>C40*C$24</f>
        <v>49256.143748701077</v>
      </c>
      <c r="D41" s="58">
        <f t="shared" ref="D41:F41" si="7">D40*D$24</f>
        <v>0</v>
      </c>
      <c r="E41" s="58">
        <f t="shared" si="7"/>
        <v>13218.472005587844</v>
      </c>
      <c r="F41" s="58">
        <f t="shared" si="7"/>
        <v>63219.769283536123</v>
      </c>
      <c r="G41" s="29" t="s">
        <v>144</v>
      </c>
    </row>
    <row r="42" spans="2:7" x14ac:dyDescent="0.3">
      <c r="B42" s="154" t="s">
        <v>98</v>
      </c>
      <c r="C42" s="46">
        <f>Población!L51*C23</f>
        <v>351054.00139178173</v>
      </c>
      <c r="D42" s="46">
        <v>0</v>
      </c>
      <c r="E42" s="46">
        <f>Población!V51*E23</f>
        <v>42067.761891020709</v>
      </c>
      <c r="F42" s="46">
        <f>Población!AA51*F23</f>
        <v>1684.4382828998168</v>
      </c>
      <c r="G42" s="29" t="s">
        <v>167</v>
      </c>
    </row>
    <row r="43" spans="2:7" x14ac:dyDescent="0.3">
      <c r="B43" s="155"/>
      <c r="C43" s="58">
        <f>C42*C$24</f>
        <v>14042.160055671269</v>
      </c>
      <c r="D43" s="58">
        <f t="shared" ref="D43" si="8">D42*D$24</f>
        <v>0</v>
      </c>
      <c r="E43" s="58">
        <f t="shared" ref="E43" si="9">E42*E$24</f>
        <v>841.35523782041423</v>
      </c>
      <c r="F43" s="58">
        <f t="shared" ref="F43" si="10">F42*F$24</f>
        <v>4345.8507698815274</v>
      </c>
      <c r="G43" s="29" t="s">
        <v>144</v>
      </c>
    </row>
    <row r="44" spans="2:7" x14ac:dyDescent="0.3">
      <c r="B44" s="154" t="s">
        <v>99</v>
      </c>
      <c r="C44" s="46">
        <f>Población!O51*C23</f>
        <v>3874680.479814155</v>
      </c>
      <c r="D44" s="46">
        <f>Población!R51*D23</f>
        <v>68070.570587582188</v>
      </c>
      <c r="E44" s="46">
        <f>Población!W51*E23</f>
        <v>198008.63782958704</v>
      </c>
      <c r="F44" s="46">
        <f>Población!AB51*F23</f>
        <v>11011.775173093929</v>
      </c>
      <c r="G44" s="29" t="s">
        <v>167</v>
      </c>
    </row>
    <row r="45" spans="2:7" x14ac:dyDescent="0.3">
      <c r="B45" s="155"/>
      <c r="C45" s="58">
        <f>C44*C$24</f>
        <v>154987.2191925662</v>
      </c>
      <c r="D45" s="58">
        <f t="shared" ref="D45" si="11">D44*D$24</f>
        <v>35396.696705542738</v>
      </c>
      <c r="E45" s="58">
        <f t="shared" ref="E45" si="12">E44*E$24</f>
        <v>3960.1727565917408</v>
      </c>
      <c r="F45" s="58">
        <f t="shared" ref="F45" si="13">F44*F$24</f>
        <v>28410.379946582336</v>
      </c>
      <c r="G45" s="29" t="s">
        <v>144</v>
      </c>
    </row>
    <row r="46" spans="2:7" x14ac:dyDescent="0.3">
      <c r="B46" s="154" t="s">
        <v>212</v>
      </c>
      <c r="C46" s="46">
        <f>C23-C40-C42-C44</f>
        <v>4164365.9250765368</v>
      </c>
      <c r="D46" s="46">
        <f>D23-D40-D42-D44</f>
        <v>13929.429412417812</v>
      </c>
      <c r="E46" s="46">
        <f>E23-E40-E42-E44</f>
        <v>0</v>
      </c>
      <c r="F46" s="46">
        <f>F23-F40-F42-F44</f>
        <v>0</v>
      </c>
      <c r="G46" s="29" t="s">
        <v>167</v>
      </c>
    </row>
    <row r="47" spans="2:7" x14ac:dyDescent="0.3">
      <c r="B47" s="155"/>
      <c r="C47" s="58">
        <f>C46*C$24</f>
        <v>166574.63700306148</v>
      </c>
      <c r="D47" s="58">
        <f t="shared" ref="D47" si="14">D46*D$24</f>
        <v>7243.3032944572624</v>
      </c>
      <c r="E47" s="58">
        <f t="shared" ref="E47" si="15">E46*E$24</f>
        <v>0</v>
      </c>
      <c r="F47" s="58">
        <f t="shared" ref="F47" si="16">F46*F$24</f>
        <v>0</v>
      </c>
      <c r="G47" s="29" t="s">
        <v>144</v>
      </c>
    </row>
    <row r="48" spans="2:7" x14ac:dyDescent="0.3">
      <c r="C48" s="74"/>
      <c r="D48" s="74"/>
      <c r="E48" s="74"/>
      <c r="F48" s="74"/>
    </row>
  </sheetData>
  <mergeCells count="24">
    <mergeCell ref="B42:B43"/>
    <mergeCell ref="B44:B45"/>
    <mergeCell ref="B46:B47"/>
    <mergeCell ref="E27:E28"/>
    <mergeCell ref="F27:F28"/>
    <mergeCell ref="B29:B30"/>
    <mergeCell ref="B31:B32"/>
    <mergeCell ref="B33:B34"/>
    <mergeCell ref="B35:B36"/>
    <mergeCell ref="C38:C39"/>
    <mergeCell ref="D38:D39"/>
    <mergeCell ref="E38:E39"/>
    <mergeCell ref="F38:F39"/>
    <mergeCell ref="B40:B41"/>
    <mergeCell ref="B19:B20"/>
    <mergeCell ref="B22:B23"/>
    <mergeCell ref="C27:C28"/>
    <mergeCell ref="D27:D28"/>
    <mergeCell ref="B2:F3"/>
    <mergeCell ref="C5:C6"/>
    <mergeCell ref="D5:D6"/>
    <mergeCell ref="E5:E6"/>
    <mergeCell ref="F5:F6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1BD0-2AEF-4DFB-857A-3EE2FB608BF9}">
  <dimension ref="A2:H48"/>
  <sheetViews>
    <sheetView showGridLines="0" topLeftCell="A31" zoomScale="143" workbookViewId="0">
      <selection activeCell="H36" sqref="H36"/>
    </sheetView>
  </sheetViews>
  <sheetFormatPr baseColWidth="10" defaultColWidth="11.44140625" defaultRowHeight="14.4" x14ac:dyDescent="0.3"/>
  <cols>
    <col min="1" max="1" width="11.44140625" customWidth="1"/>
    <col min="2" max="2" width="18" customWidth="1"/>
    <col min="3" max="6" width="16.5546875" customWidth="1"/>
  </cols>
  <sheetData>
    <row r="2" spans="1:8" ht="14.55" customHeight="1" x14ac:dyDescent="0.3">
      <c r="B2" s="158" t="s">
        <v>151</v>
      </c>
      <c r="C2" s="158"/>
      <c r="D2" s="158"/>
      <c r="E2" s="158"/>
      <c r="F2" s="158"/>
    </row>
    <row r="3" spans="1:8" ht="14.55" customHeight="1" x14ac:dyDescent="0.3">
      <c r="B3" s="158"/>
      <c r="C3" s="158"/>
      <c r="D3" s="158"/>
      <c r="E3" s="158"/>
      <c r="F3" s="158"/>
    </row>
    <row r="5" spans="1:8" ht="14.55" customHeight="1" x14ac:dyDescent="0.3">
      <c r="A5" t="s">
        <v>207</v>
      </c>
      <c r="B5" s="136">
        <f>1000/13000</f>
        <v>7.6923076923076927E-2</v>
      </c>
      <c r="C5" s="152" t="s">
        <v>16</v>
      </c>
      <c r="D5" s="152" t="s">
        <v>17</v>
      </c>
      <c r="E5" s="152" t="s">
        <v>109</v>
      </c>
      <c r="F5" s="152" t="s">
        <v>147</v>
      </c>
    </row>
    <row r="6" spans="1:8" x14ac:dyDescent="0.3">
      <c r="B6" s="47"/>
      <c r="C6" s="153"/>
      <c r="D6" s="153"/>
      <c r="E6" s="153"/>
      <c r="F6" s="153"/>
    </row>
    <row r="7" spans="1:8" x14ac:dyDescent="0.3">
      <c r="B7" s="45" t="s">
        <v>152</v>
      </c>
      <c r="C7" s="44">
        <f>'Resultados 2026'!C7*(100%+$B$5)</f>
        <v>4698261.1478343187</v>
      </c>
      <c r="D7" s="44">
        <f>'Resultados 2026'!D7*(100%+$B$5)</f>
        <v>35172.315976331352</v>
      </c>
      <c r="E7" s="44">
        <f>'Resultados 2026'!E7*(100%+$B$5)</f>
        <v>0</v>
      </c>
      <c r="F7" s="44">
        <f>'Resultados 2026'!F7*(100%+$B$5)</f>
        <v>0</v>
      </c>
    </row>
    <row r="8" spans="1:8" ht="21.75" customHeight="1" x14ac:dyDescent="0.3">
      <c r="B8" s="45" t="s">
        <v>149</v>
      </c>
      <c r="C8" s="44">
        <f>'Resultados 2026'!C8*(100%+$B$5)</f>
        <v>2421982.1560473368</v>
      </c>
      <c r="D8" s="44">
        <f>'Resultados 2026'!D8*(100%+$B$5)</f>
        <v>24945.639053254436</v>
      </c>
      <c r="E8" s="44">
        <f>'Resultados 2026'!E8*(100%+$B$5)</f>
        <v>662946.73651065072</v>
      </c>
      <c r="F8" s="44">
        <f>'Resultados 2026'!F8*(100%+$B$5)</f>
        <v>27295.098736686392</v>
      </c>
    </row>
    <row r="9" spans="1:8" x14ac:dyDescent="0.3">
      <c r="B9" s="45" t="s">
        <v>142</v>
      </c>
      <c r="C9" s="44">
        <f>'Resultados 2026'!C9*(100%+$B$5)</f>
        <v>377345.27715976321</v>
      </c>
      <c r="D9" s="44">
        <f>'Resultados 2026'!D9*(100%+$B$5)</f>
        <v>4140.3550295857985</v>
      </c>
      <c r="E9" s="44">
        <f>'Resultados 2026'!E9*(100%+$B$5)</f>
        <v>74433.968414201168</v>
      </c>
      <c r="F9" s="44">
        <f>'Resultados 2026'!F9*(100%+$B$5)</f>
        <v>3228.7619289940826</v>
      </c>
    </row>
    <row r="10" spans="1:8" x14ac:dyDescent="0.3">
      <c r="B10" s="45" t="s">
        <v>150</v>
      </c>
      <c r="C10" s="44">
        <f>'Resultados 2026'!C10*(100%+$B$5)</f>
        <v>2680228.2739739628</v>
      </c>
      <c r="D10" s="44">
        <f>'Resultados 2026'!D10*(100%+$B$5)</f>
        <v>21727.998674556213</v>
      </c>
      <c r="E10" s="44">
        <f>'Resultados 2026'!E10*(100%+$B$5)</f>
        <v>215843.44076201183</v>
      </c>
      <c r="F10" s="44">
        <f>'Resultados 2026'!F10*(100%+$B$5)</f>
        <v>8791.9720753846159</v>
      </c>
    </row>
    <row r="12" spans="1:8" x14ac:dyDescent="0.3">
      <c r="B12" s="45" t="s">
        <v>153</v>
      </c>
      <c r="C12" s="46">
        <f>SUM(C7:C10)</f>
        <v>10177816.855015382</v>
      </c>
      <c r="D12" s="46">
        <f t="shared" ref="D12:F12" si="0">SUM(D7:D10)</f>
        <v>85986.308733727812</v>
      </c>
      <c r="E12" s="46">
        <f t="shared" si="0"/>
        <v>953224.14568686369</v>
      </c>
      <c r="F12" s="46">
        <f t="shared" si="0"/>
        <v>39315.832741065089</v>
      </c>
    </row>
    <row r="14" spans="1:8" x14ac:dyDescent="0.3">
      <c r="A14" s="29"/>
      <c r="B14" s="156" t="s">
        <v>154</v>
      </c>
      <c r="C14" s="48">
        <v>3</v>
      </c>
      <c r="D14" s="48">
        <v>3</v>
      </c>
      <c r="E14" s="48">
        <v>3</v>
      </c>
      <c r="F14" s="48">
        <v>3</v>
      </c>
      <c r="G14" s="29" t="s">
        <v>155</v>
      </c>
      <c r="H14" s="29"/>
    </row>
    <row r="15" spans="1:8" x14ac:dyDescent="0.3">
      <c r="A15" s="29"/>
      <c r="B15" s="157"/>
      <c r="C15" s="44">
        <f>C12/12*C14</f>
        <v>2544454.2137538455</v>
      </c>
      <c r="D15" s="44">
        <f t="shared" ref="D15:F15" si="1">D12/12*D14</f>
        <v>21496.577183431953</v>
      </c>
      <c r="E15" s="44">
        <f t="shared" si="1"/>
        <v>238306.03642171592</v>
      </c>
      <c r="F15" s="44">
        <f t="shared" si="1"/>
        <v>9828.9581852662723</v>
      </c>
      <c r="G15" s="29"/>
      <c r="H15" s="29"/>
    </row>
    <row r="16" spans="1:8" x14ac:dyDescent="0.3">
      <c r="A16" s="29"/>
      <c r="G16" s="29"/>
      <c r="H16" s="29"/>
    </row>
    <row r="17" spans="2:7" x14ac:dyDescent="0.3">
      <c r="B17" t="s">
        <v>162</v>
      </c>
      <c r="C17" s="44">
        <f>'Resultados 2026'!C15</f>
        <v>2362707.4841999994</v>
      </c>
      <c r="D17" s="44">
        <f>'Resultados 2026'!D15</f>
        <v>19961.107384615381</v>
      </c>
      <c r="E17" s="44">
        <f>'Resultados 2026'!E15</f>
        <v>221284.1766773077</v>
      </c>
      <c r="F17" s="44">
        <f>'Resultados 2026'!F15</f>
        <v>9126.8897434615392</v>
      </c>
    </row>
    <row r="19" spans="2:7" ht="14.55" customHeight="1" x14ac:dyDescent="0.3">
      <c r="B19" s="156" t="s">
        <v>209</v>
      </c>
      <c r="C19" s="49">
        <v>46387</v>
      </c>
      <c r="D19" s="49">
        <v>46387</v>
      </c>
      <c r="E19" s="49">
        <v>46387</v>
      </c>
      <c r="F19" s="49">
        <v>46387</v>
      </c>
      <c r="G19" s="29" t="s">
        <v>164</v>
      </c>
    </row>
    <row r="20" spans="2:7" x14ac:dyDescent="0.3">
      <c r="B20" s="157"/>
      <c r="C20" s="44">
        <f>C12+C15-C17</f>
        <v>10359563.584569229</v>
      </c>
      <c r="D20" s="44">
        <f t="shared" ref="D20:F20" si="2">D12+D15-D17</f>
        <v>87521.778532544384</v>
      </c>
      <c r="E20" s="44">
        <f t="shared" si="2"/>
        <v>970246.00543127197</v>
      </c>
      <c r="F20" s="44">
        <f t="shared" si="2"/>
        <v>40017.901182869828</v>
      </c>
    </row>
    <row r="22" spans="2:7" x14ac:dyDescent="0.3">
      <c r="B22" s="156" t="s">
        <v>210</v>
      </c>
      <c r="C22" s="135">
        <v>5184</v>
      </c>
      <c r="D22" s="135">
        <v>1000</v>
      </c>
      <c r="E22" s="135">
        <v>100</v>
      </c>
      <c r="F22" s="135">
        <v>100</v>
      </c>
      <c r="G22" s="29" t="s">
        <v>166</v>
      </c>
    </row>
    <row r="23" spans="2:7" x14ac:dyDescent="0.3">
      <c r="B23" s="157"/>
      <c r="C23" s="46">
        <f>CEILING((C20),C22)</f>
        <v>10362816</v>
      </c>
      <c r="D23" s="46">
        <f>CEILING((D20),D22)</f>
        <v>88000</v>
      </c>
      <c r="E23" s="46">
        <f>CEILING((E20),E22)</f>
        <v>970300</v>
      </c>
      <c r="F23" s="46">
        <f>CEILING((F20),F22)</f>
        <v>40100</v>
      </c>
      <c r="G23" s="29" t="s">
        <v>167</v>
      </c>
    </row>
    <row r="24" spans="2:7" x14ac:dyDescent="0.3">
      <c r="B24" s="62" t="s">
        <v>168</v>
      </c>
      <c r="C24" s="59">
        <v>0.04</v>
      </c>
      <c r="D24" s="59">
        <v>0.52</v>
      </c>
      <c r="E24" s="59">
        <v>0.02</v>
      </c>
      <c r="F24" s="59">
        <v>2.58</v>
      </c>
    </row>
    <row r="25" spans="2:7" x14ac:dyDescent="0.3">
      <c r="B25" s="60" t="s">
        <v>169</v>
      </c>
      <c r="C25" s="61">
        <f>C24*C23</f>
        <v>414512.64000000001</v>
      </c>
      <c r="D25" s="61">
        <f>D24*D23</f>
        <v>45760</v>
      </c>
      <c r="E25" s="61">
        <f>E24*E23</f>
        <v>19406</v>
      </c>
      <c r="F25" s="61">
        <f>F24*F23</f>
        <v>103458</v>
      </c>
      <c r="G25" s="29" t="s">
        <v>144</v>
      </c>
    </row>
    <row r="27" spans="2:7" x14ac:dyDescent="0.3">
      <c r="C27" s="152" t="s">
        <v>16</v>
      </c>
      <c r="D27" s="152" t="s">
        <v>17</v>
      </c>
      <c r="E27" s="152" t="s">
        <v>109</v>
      </c>
      <c r="F27" s="152" t="s">
        <v>147</v>
      </c>
    </row>
    <row r="28" spans="2:7" x14ac:dyDescent="0.3">
      <c r="C28" s="153"/>
      <c r="D28" s="153"/>
      <c r="E28" s="153"/>
      <c r="F28" s="153"/>
    </row>
    <row r="29" spans="2:7" x14ac:dyDescent="0.3">
      <c r="B29" s="154" t="s">
        <v>152</v>
      </c>
      <c r="C29" s="46">
        <f>CEILING((Población!P53/Población!P$58)*C$23,C$22)</f>
        <v>4784832</v>
      </c>
      <c r="D29" s="46">
        <f>CEILING((Población!U53/Población!U$58)*D$23,D$22)</f>
        <v>36000</v>
      </c>
      <c r="E29" s="46">
        <f>CEILING((Población!Z53/Población!Z$58)*E$23,E$22)</f>
        <v>0</v>
      </c>
      <c r="F29" s="46">
        <f>CEILING((Población!AE53/Población!AE$58)*F$23,F$22)</f>
        <v>0</v>
      </c>
      <c r="G29" s="29" t="s">
        <v>167</v>
      </c>
    </row>
    <row r="30" spans="2:7" x14ac:dyDescent="0.3">
      <c r="B30" s="155"/>
      <c r="C30" s="58">
        <f>C29*C$24</f>
        <v>191393.28</v>
      </c>
      <c r="D30" s="58">
        <f t="shared" ref="D30:F30" si="3">D29*D$24</f>
        <v>18720</v>
      </c>
      <c r="E30" s="58">
        <f t="shared" si="3"/>
        <v>0</v>
      </c>
      <c r="F30" s="58">
        <f t="shared" si="3"/>
        <v>0</v>
      </c>
      <c r="G30" s="29" t="s">
        <v>144</v>
      </c>
    </row>
    <row r="31" spans="2:7" x14ac:dyDescent="0.3">
      <c r="B31" s="154" t="s">
        <v>149</v>
      </c>
      <c r="C31" s="46">
        <f>CEILING((Población!P54/Población!P$58)*C$23,C$22)</f>
        <v>2467584</v>
      </c>
      <c r="D31" s="46">
        <f>CEILING((Población!U54/Población!U$58)*D$23,D$22)</f>
        <v>26000</v>
      </c>
      <c r="E31" s="46">
        <f>CEILING((Población!Z54/Población!Z$58)*E$23,E$22)</f>
        <v>674900</v>
      </c>
      <c r="F31" s="46">
        <f>CEILING((Población!AE54/Población!AE$58)*F$23,F$22)</f>
        <v>27900</v>
      </c>
      <c r="G31" s="29" t="s">
        <v>167</v>
      </c>
    </row>
    <row r="32" spans="2:7" x14ac:dyDescent="0.3">
      <c r="B32" s="155"/>
      <c r="C32" s="58">
        <f>C31*C$24</f>
        <v>98703.360000000001</v>
      </c>
      <c r="D32" s="58">
        <f t="shared" ref="D32:F32" si="4">D31*D$24</f>
        <v>13520</v>
      </c>
      <c r="E32" s="58">
        <f t="shared" si="4"/>
        <v>13498</v>
      </c>
      <c r="F32" s="58">
        <f t="shared" si="4"/>
        <v>71982</v>
      </c>
      <c r="G32" s="29" t="s">
        <v>144</v>
      </c>
    </row>
    <row r="33" spans="2:7" x14ac:dyDescent="0.3">
      <c r="B33" s="154" t="s">
        <v>142</v>
      </c>
      <c r="C33" s="46">
        <f>CEILING((Población!P55/Población!P$58)*C$23,C$22)</f>
        <v>388800</v>
      </c>
      <c r="D33" s="46">
        <f>CEILING((Población!U55/Población!U$58)*D$23,D$22)</f>
        <v>5000</v>
      </c>
      <c r="E33" s="46">
        <f>CEILING((Población!Z55/Población!Z$58)*E$23,E$22)</f>
        <v>75800</v>
      </c>
      <c r="F33" s="46">
        <f>CEILING((Población!AE55/Población!AE$58)*F$23,F$22)</f>
        <v>3300</v>
      </c>
      <c r="G33" s="29" t="s">
        <v>167</v>
      </c>
    </row>
    <row r="34" spans="2:7" x14ac:dyDescent="0.3">
      <c r="B34" s="155"/>
      <c r="C34" s="58">
        <f>C33*C$24</f>
        <v>15552</v>
      </c>
      <c r="D34" s="58">
        <f t="shared" ref="D34:F34" si="5">D33*D$24</f>
        <v>2600</v>
      </c>
      <c r="E34" s="58">
        <f t="shared" si="5"/>
        <v>1516</v>
      </c>
      <c r="F34" s="58">
        <f t="shared" si="5"/>
        <v>8514</v>
      </c>
      <c r="G34" s="29" t="s">
        <v>144</v>
      </c>
    </row>
    <row r="35" spans="2:7" x14ac:dyDescent="0.3">
      <c r="B35" s="154" t="s">
        <v>150</v>
      </c>
      <c r="C35" s="46">
        <f>C23-C29-C31-C33</f>
        <v>2721600</v>
      </c>
      <c r="D35" s="46">
        <f>D23-D29-D31-D33</f>
        <v>21000</v>
      </c>
      <c r="E35" s="46">
        <f>E23-E29-E31-E33</f>
        <v>219600</v>
      </c>
      <c r="F35" s="46">
        <f>F23-F29-F31-F33</f>
        <v>8900</v>
      </c>
      <c r="G35" s="29" t="s">
        <v>167</v>
      </c>
    </row>
    <row r="36" spans="2:7" x14ac:dyDescent="0.3">
      <c r="B36" s="155"/>
      <c r="C36" s="58">
        <f>C35*C$24</f>
        <v>108864</v>
      </c>
      <c r="D36" s="58">
        <f t="shared" ref="D36:F36" si="6">D35*D$24</f>
        <v>10920</v>
      </c>
      <c r="E36" s="58">
        <f t="shared" si="6"/>
        <v>4392</v>
      </c>
      <c r="F36" s="58">
        <f t="shared" si="6"/>
        <v>22962</v>
      </c>
      <c r="G36" s="29" t="s">
        <v>144</v>
      </c>
    </row>
    <row r="37" spans="2:7" x14ac:dyDescent="0.3">
      <c r="C37" s="63"/>
    </row>
    <row r="38" spans="2:7" x14ac:dyDescent="0.3">
      <c r="C38" s="152" t="s">
        <v>16</v>
      </c>
      <c r="D38" s="152" t="s">
        <v>17</v>
      </c>
      <c r="E38" s="152" t="s">
        <v>109</v>
      </c>
      <c r="F38" s="152" t="s">
        <v>147</v>
      </c>
    </row>
    <row r="39" spans="2:7" x14ac:dyDescent="0.3">
      <c r="C39" s="153"/>
      <c r="D39" s="153"/>
      <c r="E39" s="153"/>
      <c r="F39" s="153"/>
    </row>
    <row r="40" spans="2:7" x14ac:dyDescent="0.3">
      <c r="B40" s="154" t="s">
        <v>97</v>
      </c>
      <c r="C40" s="46">
        <f>Población!N51*C23</f>
        <v>1326280.0559489958</v>
      </c>
      <c r="D40" s="46">
        <v>0</v>
      </c>
      <c r="E40" s="46">
        <f>Población!X51*E23</f>
        <v>711758.23457391153</v>
      </c>
      <c r="F40" s="46">
        <f>Población!AC51*F23</f>
        <v>26414.027968135768</v>
      </c>
      <c r="G40" s="29" t="s">
        <v>167</v>
      </c>
    </row>
    <row r="41" spans="2:7" x14ac:dyDescent="0.3">
      <c r="B41" s="155"/>
      <c r="C41" s="58">
        <f>C40*C$24</f>
        <v>53051.202237959835</v>
      </c>
      <c r="D41" s="58">
        <f t="shared" ref="D41:F41" si="7">D40*D$24</f>
        <v>0</v>
      </c>
      <c r="E41" s="58">
        <f t="shared" si="7"/>
        <v>14235.16469147823</v>
      </c>
      <c r="F41" s="58">
        <f t="shared" si="7"/>
        <v>68148.192157790283</v>
      </c>
      <c r="G41" s="29" t="s">
        <v>144</v>
      </c>
    </row>
    <row r="42" spans="2:7" x14ac:dyDescent="0.3">
      <c r="B42" s="154" t="s">
        <v>98</v>
      </c>
      <c r="C42" s="46">
        <f>Población!L51*C23</f>
        <v>378101.80430073902</v>
      </c>
      <c r="D42" s="46">
        <v>0</v>
      </c>
      <c r="E42" s="46">
        <f>Población!V51*E23</f>
        <v>45303.384420485454</v>
      </c>
      <c r="F42" s="46">
        <f>Población!AA51*F23</f>
        <v>1815.7520200075983</v>
      </c>
      <c r="G42" s="29" t="s">
        <v>167</v>
      </c>
    </row>
    <row r="43" spans="2:7" x14ac:dyDescent="0.3">
      <c r="B43" s="155"/>
      <c r="C43" s="58">
        <f>C42*C$24</f>
        <v>15124.072172029561</v>
      </c>
      <c r="D43" s="58">
        <f t="shared" ref="D43:F43" si="8">D42*D$24</f>
        <v>0</v>
      </c>
      <c r="E43" s="58">
        <f t="shared" si="8"/>
        <v>906.06768840970915</v>
      </c>
      <c r="F43" s="58">
        <f t="shared" si="8"/>
        <v>4684.6402116196041</v>
      </c>
      <c r="G43" s="29" t="s">
        <v>144</v>
      </c>
    </row>
    <row r="44" spans="2:7" x14ac:dyDescent="0.3">
      <c r="B44" s="154" t="s">
        <v>99</v>
      </c>
      <c r="C44" s="46">
        <f>Población!O51*C23</f>
        <v>4173214.5900584571</v>
      </c>
      <c r="D44" s="46">
        <f>Población!R51*D23</f>
        <v>73051.344045210149</v>
      </c>
      <c r="E44" s="46">
        <f>Población!W51*E23</f>
        <v>213238.38100560301</v>
      </c>
      <c r="F44" s="46">
        <f>Población!AB51*F23</f>
        <v>11870.220011856627</v>
      </c>
      <c r="G44" s="29" t="s">
        <v>167</v>
      </c>
    </row>
    <row r="45" spans="2:7" x14ac:dyDescent="0.3">
      <c r="B45" s="155"/>
      <c r="C45" s="58">
        <f>C44*C$24</f>
        <v>166928.5836023383</v>
      </c>
      <c r="D45" s="58">
        <f t="shared" ref="D45:F45" si="9">D44*D$24</f>
        <v>37986.698903509277</v>
      </c>
      <c r="E45" s="58">
        <f t="shared" si="9"/>
        <v>4264.7676201120603</v>
      </c>
      <c r="F45" s="58">
        <f t="shared" si="9"/>
        <v>30625.167630590098</v>
      </c>
      <c r="G45" s="29" t="s">
        <v>144</v>
      </c>
    </row>
    <row r="46" spans="2:7" x14ac:dyDescent="0.3">
      <c r="B46" s="154" t="s">
        <v>212</v>
      </c>
      <c r="C46" s="46">
        <f>C23-C40-C42-C44</f>
        <v>4485219.5496918093</v>
      </c>
      <c r="D46" s="46">
        <f>D23-D40-D42-D44</f>
        <v>14948.655954789851</v>
      </c>
      <c r="E46" s="46">
        <f>E23-E40-E42-E44</f>
        <v>0</v>
      </c>
      <c r="F46" s="46">
        <f>F23-F40-F42-F44</f>
        <v>0</v>
      </c>
      <c r="G46" s="29" t="s">
        <v>167</v>
      </c>
    </row>
    <row r="47" spans="2:7" x14ac:dyDescent="0.3">
      <c r="B47" s="155"/>
      <c r="C47" s="58">
        <f>C46*C$24</f>
        <v>179408.78198767238</v>
      </c>
      <c r="D47" s="58">
        <f t="shared" ref="D47:F47" si="10">D46*D$24</f>
        <v>7773.3010964907226</v>
      </c>
      <c r="E47" s="58">
        <f t="shared" si="10"/>
        <v>0</v>
      </c>
      <c r="F47" s="58">
        <f t="shared" si="10"/>
        <v>0</v>
      </c>
      <c r="G47" s="29" t="s">
        <v>144</v>
      </c>
    </row>
    <row r="48" spans="2:7" x14ac:dyDescent="0.3">
      <c r="C48" s="74"/>
      <c r="D48" s="74"/>
      <c r="E48" s="74"/>
      <c r="F48" s="74"/>
    </row>
  </sheetData>
  <mergeCells count="24">
    <mergeCell ref="E38:E39"/>
    <mergeCell ref="F38:F39"/>
    <mergeCell ref="B40:B41"/>
    <mergeCell ref="B42:B43"/>
    <mergeCell ref="B44:B45"/>
    <mergeCell ref="C38:C39"/>
    <mergeCell ref="D38:D39"/>
    <mergeCell ref="B46:B47"/>
    <mergeCell ref="B29:B30"/>
    <mergeCell ref="B31:B32"/>
    <mergeCell ref="B33:B34"/>
    <mergeCell ref="B35:B36"/>
    <mergeCell ref="F27:F28"/>
    <mergeCell ref="B2:F3"/>
    <mergeCell ref="C5:C6"/>
    <mergeCell ref="D5:D6"/>
    <mergeCell ref="E5:E6"/>
    <mergeCell ref="F5:F6"/>
    <mergeCell ref="B14:B15"/>
    <mergeCell ref="B19:B20"/>
    <mergeCell ref="B22:B23"/>
    <mergeCell ref="C27:C28"/>
    <mergeCell ref="D27:D28"/>
    <mergeCell ref="E27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161CE-82A5-41A7-9CA8-4AF960D6E668}">
  <sheetPr codeName="Hoja1"/>
  <dimension ref="A3:AF59"/>
  <sheetViews>
    <sheetView showGridLines="0" topLeftCell="A18" zoomScale="98" zoomScaleNormal="98" workbookViewId="0">
      <selection activeCell="C25" sqref="C25"/>
    </sheetView>
  </sheetViews>
  <sheetFormatPr baseColWidth="10" defaultColWidth="11.44140625" defaultRowHeight="14.4" x14ac:dyDescent="0.3"/>
  <cols>
    <col min="1" max="1" width="51.77734375" customWidth="1"/>
    <col min="2" max="2" width="19" customWidth="1"/>
    <col min="3" max="9" width="10.77734375" customWidth="1"/>
    <col min="10" max="10" width="12" customWidth="1"/>
    <col min="11" max="15" width="18" customWidth="1"/>
    <col min="16" max="31" width="13.77734375" customWidth="1"/>
    <col min="32" max="32" width="4.21875" bestFit="1" customWidth="1"/>
    <col min="33" max="34" width="19" customWidth="1"/>
  </cols>
  <sheetData>
    <row r="3" spans="1:31" x14ac:dyDescent="0.3">
      <c r="A3" s="169" t="s">
        <v>171</v>
      </c>
      <c r="B3" s="14" t="s">
        <v>91</v>
      </c>
      <c r="C3" s="8">
        <v>144</v>
      </c>
      <c r="D3" s="9">
        <v>144</v>
      </c>
      <c r="E3" s="9">
        <v>60</v>
      </c>
      <c r="F3" s="9">
        <v>24</v>
      </c>
      <c r="G3" s="9">
        <v>24</v>
      </c>
      <c r="H3" s="9">
        <v>24</v>
      </c>
      <c r="I3" s="9">
        <v>24</v>
      </c>
      <c r="J3" s="10">
        <v>24</v>
      </c>
      <c r="K3" t="s">
        <v>172</v>
      </c>
    </row>
    <row r="4" spans="1:31" x14ac:dyDescent="0.3">
      <c r="A4" s="170"/>
      <c r="B4" s="15" t="s">
        <v>92</v>
      </c>
      <c r="C4" s="11">
        <f>Supuestos!C32</f>
        <v>0.40724999999999995</v>
      </c>
      <c r="D4" s="12">
        <f>Supuestos!D32</f>
        <v>0.63749999999999996</v>
      </c>
      <c r="E4" s="12">
        <f>Supuestos!E32</f>
        <v>0.24196499999999999</v>
      </c>
      <c r="F4" s="12">
        <f>Supuestos!F32</f>
        <v>0.1875</v>
      </c>
      <c r="G4" s="12">
        <f>Supuestos!G32</f>
        <v>0.1875</v>
      </c>
      <c r="H4" s="12">
        <f>Supuestos!H32</f>
        <v>0.1875</v>
      </c>
      <c r="I4" s="12">
        <f>Supuestos!I32</f>
        <v>0.1875</v>
      </c>
      <c r="J4" s="13">
        <f>Supuestos!J32</f>
        <v>0.11249999999999999</v>
      </c>
    </row>
    <row r="5" spans="1:31" x14ac:dyDescent="0.3">
      <c r="A5" s="169" t="s">
        <v>173</v>
      </c>
      <c r="B5" s="14" t="s">
        <v>91</v>
      </c>
      <c r="C5" s="28">
        <v>0</v>
      </c>
      <c r="D5" s="9">
        <v>50</v>
      </c>
      <c r="E5" s="39">
        <v>0</v>
      </c>
      <c r="F5" s="9">
        <v>24</v>
      </c>
      <c r="G5" s="9">
        <v>24</v>
      </c>
      <c r="H5" s="9">
        <v>24</v>
      </c>
      <c r="I5" s="9">
        <v>24</v>
      </c>
      <c r="J5" s="10">
        <v>24</v>
      </c>
    </row>
    <row r="6" spans="1:31" x14ac:dyDescent="0.3">
      <c r="A6" s="170"/>
      <c r="B6" s="15" t="s">
        <v>92</v>
      </c>
      <c r="C6" s="11">
        <f>Supuestos!C35</f>
        <v>0</v>
      </c>
      <c r="D6" s="12">
        <f>Supuestos!D35</f>
        <v>2.9749999999999999E-2</v>
      </c>
      <c r="E6" s="12">
        <f>Supuestos!E35</f>
        <v>0</v>
      </c>
      <c r="F6" s="12">
        <f>Supuestos!F35</f>
        <v>2.6249999999999997E-3</v>
      </c>
      <c r="G6" s="12">
        <f>Supuestos!G35</f>
        <v>4.3749999999999995E-3</v>
      </c>
      <c r="H6" s="12">
        <f>Supuestos!H35</f>
        <v>4.3749999999999995E-3</v>
      </c>
      <c r="I6" s="12">
        <f>Supuestos!I35</f>
        <v>4.3749999999999995E-3</v>
      </c>
      <c r="J6" s="13">
        <f>Supuestos!J35</f>
        <v>2.6250000000000002E-3</v>
      </c>
    </row>
    <row r="7" spans="1:31" x14ac:dyDescent="0.3">
      <c r="A7" s="169" t="s">
        <v>174</v>
      </c>
      <c r="B7" s="14" t="s">
        <v>91</v>
      </c>
      <c r="C7" s="8">
        <v>60</v>
      </c>
      <c r="D7" s="9">
        <v>60</v>
      </c>
      <c r="E7" s="9">
        <v>60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31" x14ac:dyDescent="0.3">
      <c r="A8" s="170"/>
      <c r="B8" s="15" t="s">
        <v>92</v>
      </c>
      <c r="C8" s="11">
        <f>Supuestos!C37</f>
        <v>0.15271874999999999</v>
      </c>
      <c r="D8" s="12">
        <f>Supuestos!D37</f>
        <v>0.1434375</v>
      </c>
      <c r="E8" s="12">
        <f>Supuestos!E37</f>
        <v>0.163326375</v>
      </c>
      <c r="F8" s="12">
        <f>Supuestos!F37</f>
        <v>0</v>
      </c>
      <c r="G8" s="12">
        <f>Supuestos!G37</f>
        <v>0</v>
      </c>
      <c r="H8" s="12">
        <f>Supuestos!H37</f>
        <v>0</v>
      </c>
      <c r="I8" s="12">
        <f>Supuestos!I37</f>
        <v>0</v>
      </c>
      <c r="J8" s="13">
        <f>Supuestos!J37</f>
        <v>0</v>
      </c>
    </row>
    <row r="9" spans="1:31" x14ac:dyDescent="0.3">
      <c r="A9" s="169" t="s">
        <v>175</v>
      </c>
      <c r="B9" s="14" t="s">
        <v>91</v>
      </c>
      <c r="C9" s="8">
        <v>60</v>
      </c>
      <c r="D9" s="9">
        <v>60</v>
      </c>
      <c r="E9" s="9">
        <v>60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31" x14ac:dyDescent="0.3">
      <c r="A10" s="170"/>
      <c r="B10" s="15" t="s">
        <v>92</v>
      </c>
      <c r="C10" s="11">
        <f>Supuestos!C39</f>
        <v>6.1087499999999996E-3</v>
      </c>
      <c r="D10" s="12">
        <f>Supuestos!D39</f>
        <v>7.9687500000000001E-3</v>
      </c>
      <c r="E10" s="12">
        <f>Supuestos!E39</f>
        <v>6.0491249999999998E-3</v>
      </c>
      <c r="F10" s="12">
        <f>Supuestos!F39</f>
        <v>0</v>
      </c>
      <c r="G10" s="12">
        <f>Supuestos!G39</f>
        <v>0</v>
      </c>
      <c r="H10" s="12">
        <f>Supuestos!H39</f>
        <v>0</v>
      </c>
      <c r="I10" s="12">
        <f>Supuestos!I39</f>
        <v>0</v>
      </c>
      <c r="J10" s="13">
        <f>Supuestos!J39</f>
        <v>0</v>
      </c>
    </row>
    <row r="11" spans="1:31" x14ac:dyDescent="0.3">
      <c r="A11" s="7"/>
    </row>
    <row r="12" spans="1:31" ht="14.55" customHeight="1" x14ac:dyDescent="0.3">
      <c r="A12" s="161" t="s">
        <v>176</v>
      </c>
      <c r="B12" s="163" t="s">
        <v>177</v>
      </c>
      <c r="C12" s="161" t="s">
        <v>98</v>
      </c>
      <c r="D12" s="161" t="s">
        <v>99</v>
      </c>
      <c r="E12" s="161" t="s">
        <v>97</v>
      </c>
      <c r="F12" s="159" t="s">
        <v>178</v>
      </c>
      <c r="G12" s="159" t="s">
        <v>179</v>
      </c>
      <c r="H12" s="161" t="s">
        <v>180</v>
      </c>
      <c r="I12" s="161" t="s">
        <v>181</v>
      </c>
      <c r="J12" s="159" t="s">
        <v>182</v>
      </c>
      <c r="K12" s="163" t="s">
        <v>90</v>
      </c>
      <c r="L12" s="165" t="s">
        <v>98</v>
      </c>
      <c r="M12" s="165" t="s">
        <v>99</v>
      </c>
      <c r="N12" s="165" t="s">
        <v>97</v>
      </c>
      <c r="O12" s="167" t="s">
        <v>182</v>
      </c>
      <c r="P12" s="159" t="s">
        <v>16</v>
      </c>
      <c r="Q12" s="165" t="s">
        <v>98</v>
      </c>
      <c r="R12" s="165" t="s">
        <v>99</v>
      </c>
      <c r="S12" s="165" t="s">
        <v>97</v>
      </c>
      <c r="T12" s="167" t="s">
        <v>182</v>
      </c>
      <c r="U12" s="159" t="s">
        <v>17</v>
      </c>
      <c r="V12" s="165" t="s">
        <v>98</v>
      </c>
      <c r="W12" s="165" t="s">
        <v>99</v>
      </c>
      <c r="X12" s="165" t="s">
        <v>97</v>
      </c>
      <c r="Y12" s="167" t="s">
        <v>182</v>
      </c>
      <c r="Z12" s="159" t="s">
        <v>109</v>
      </c>
      <c r="AA12" s="165" t="s">
        <v>98</v>
      </c>
      <c r="AB12" s="165" t="s">
        <v>99</v>
      </c>
      <c r="AC12" s="165" t="s">
        <v>97</v>
      </c>
      <c r="AD12" s="167" t="s">
        <v>182</v>
      </c>
      <c r="AE12" s="159" t="s">
        <v>147</v>
      </c>
    </row>
    <row r="13" spans="1:31" ht="15" thickBot="1" x14ac:dyDescent="0.35">
      <c r="A13" s="162"/>
      <c r="B13" s="164"/>
      <c r="C13" s="162"/>
      <c r="D13" s="162"/>
      <c r="E13" s="162"/>
      <c r="F13" s="160"/>
      <c r="G13" s="160"/>
      <c r="H13" s="162"/>
      <c r="I13" s="162"/>
      <c r="J13" s="160"/>
      <c r="K13" s="164"/>
      <c r="L13" s="166"/>
      <c r="M13" s="166"/>
      <c r="N13" s="166"/>
      <c r="O13" s="168"/>
      <c r="P13" s="160"/>
      <c r="Q13" s="166"/>
      <c r="R13" s="166"/>
      <c r="S13" s="166"/>
      <c r="T13" s="168"/>
      <c r="U13" s="160"/>
      <c r="V13" s="166"/>
      <c r="W13" s="166"/>
      <c r="X13" s="166"/>
      <c r="Y13" s="168"/>
      <c r="Z13" s="160"/>
      <c r="AA13" s="166"/>
      <c r="AB13" s="166"/>
      <c r="AC13" s="166"/>
      <c r="AD13" s="168"/>
      <c r="AE13" s="160"/>
    </row>
    <row r="14" spans="1:31" x14ac:dyDescent="0.3">
      <c r="A14" s="1" t="s">
        <v>25</v>
      </c>
      <c r="B14" s="40"/>
      <c r="C14" s="16">
        <v>130</v>
      </c>
      <c r="D14" s="16">
        <v>1495</v>
      </c>
      <c r="E14" s="16">
        <v>1502</v>
      </c>
      <c r="F14" s="16"/>
      <c r="G14" s="16"/>
      <c r="H14" s="16"/>
      <c r="I14" s="16"/>
      <c r="J14" s="16">
        <v>13869</v>
      </c>
      <c r="K14" s="17">
        <f>SUM(C14:J14)</f>
        <v>16996</v>
      </c>
      <c r="L14" s="17">
        <f>($C14*$C$3*$C$4)</f>
        <v>7623.7199999999993</v>
      </c>
      <c r="M14" s="17">
        <f>($D14*$D$3*$D$4)</f>
        <v>137241</v>
      </c>
      <c r="N14" s="17">
        <f>($E14*$E$3*$E$4)</f>
        <v>21805.8858</v>
      </c>
      <c r="O14" s="17">
        <f>P14-SUM(L14:N14)</f>
        <v>37446.299999999988</v>
      </c>
      <c r="P14" s="16">
        <f>($C14*$C$3*$C$4)+($D14*$D$3*$D$4)+($E14*$E$3*$E$4)+($F14*$F$3*$F$4)+($G14*$G$3*$G$4)+($H14*$H$3*$H$4)+($I14*$I$3*$I$4)+($J14*$J$3*$J$4)</f>
        <v>204116.90579999998</v>
      </c>
      <c r="Q14" s="16">
        <f t="shared" ref="Q14:Q49" si="0">($C14*$C$5*$C$6)</f>
        <v>0</v>
      </c>
      <c r="R14" s="16">
        <f t="shared" ref="R14:R49" si="1">+($D14*$D$5*$D$6)</f>
        <v>2223.8125</v>
      </c>
      <c r="S14" s="16">
        <v>0</v>
      </c>
      <c r="T14" s="16">
        <f t="shared" ref="T14:T49" si="2">+U14-Q14-R14-S14</f>
        <v>0</v>
      </c>
      <c r="U14" s="16">
        <f>($C14*$C$5*$C$6)+($D14*$D$5*$D$6)+($E14*$E$5*$E$6)+($F14*$F$5*$F$6)+($G14*$G$5*$G$6)+($H14*$H$5*$H$6)+($I14*$I$5*$I$6)</f>
        <v>2223.8125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x14ac:dyDescent="0.3">
      <c r="A15" s="2" t="s">
        <v>18</v>
      </c>
      <c r="B15" s="41"/>
      <c r="C15" s="18">
        <v>7</v>
      </c>
      <c r="D15" s="18">
        <v>713</v>
      </c>
      <c r="E15" s="18">
        <v>156</v>
      </c>
      <c r="F15" s="18"/>
      <c r="G15" s="18"/>
      <c r="H15" s="18"/>
      <c r="I15" s="18"/>
      <c r="J15" s="18">
        <v>10406</v>
      </c>
      <c r="K15" s="19">
        <f t="shared" ref="K15:K49" si="3">SUM(C15:J15)</f>
        <v>11282</v>
      </c>
      <c r="L15" s="19">
        <f t="shared" ref="L15:L49" si="4">($C15*$C$3*$C$4)</f>
        <v>410.50799999999992</v>
      </c>
      <c r="M15" s="19">
        <f t="shared" ref="M15:M49" si="5">($D15*$D$3*$D$4)</f>
        <v>65453.399999999994</v>
      </c>
      <c r="N15" s="19">
        <f t="shared" ref="N15:N49" si="6">($E15*$E$3*$E$4)</f>
        <v>2264.7923999999998</v>
      </c>
      <c r="O15" s="19">
        <f t="shared" ref="O15:O18" si="7">P15-SUM(L15:N15)</f>
        <v>28096.199999999997</v>
      </c>
      <c r="P15" s="18">
        <f t="shared" ref="P15:P47" si="8">($C15*$C$3*$C$4)+($D15*$D$3*$D$4)+($E15*$E$3*$E$4)+($F15*$F$3*$F$4)+($G15*$G$3*$G$4)+($H15*$H$3*$H$4)+($I15*$I$3*$I$4)+($J15*$J$3*$J$4)</f>
        <v>96224.900399999999</v>
      </c>
      <c r="Q15" s="18">
        <f t="shared" si="0"/>
        <v>0</v>
      </c>
      <c r="R15" s="18">
        <f t="shared" si="1"/>
        <v>1060.5874999999999</v>
      </c>
      <c r="S15" s="18">
        <v>0</v>
      </c>
      <c r="T15" s="18">
        <f t="shared" si="2"/>
        <v>0</v>
      </c>
      <c r="U15" s="18">
        <f>($C15*$C$5*$C$6)+($D15*$D$5*$D$6)+($E15*$E$5*$E$6)+($F15*$F$5*$F$6)+($G15*$G$5*$G$6)+($H15*$H$5*$H$6)+($I15*$I$5*$I$6)</f>
        <v>1060.5874999999999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x14ac:dyDescent="0.3">
      <c r="A16" s="2" t="s">
        <v>56</v>
      </c>
      <c r="B16" s="41"/>
      <c r="C16" s="18">
        <v>11</v>
      </c>
      <c r="D16" s="18">
        <v>527</v>
      </c>
      <c r="E16" s="18">
        <v>132</v>
      </c>
      <c r="F16" s="18"/>
      <c r="G16" s="18"/>
      <c r="H16" s="18"/>
      <c r="I16" s="18"/>
      <c r="J16" s="18">
        <v>32839</v>
      </c>
      <c r="K16" s="19">
        <f t="shared" si="3"/>
        <v>33509</v>
      </c>
      <c r="L16" s="19">
        <f t="shared" si="4"/>
        <v>645.08399999999995</v>
      </c>
      <c r="M16" s="19">
        <f t="shared" si="5"/>
        <v>48378.6</v>
      </c>
      <c r="N16" s="19">
        <f t="shared" si="6"/>
        <v>1916.3627999999999</v>
      </c>
      <c r="O16" s="19">
        <f t="shared" si="7"/>
        <v>88665.299999999988</v>
      </c>
      <c r="P16" s="18">
        <f t="shared" si="8"/>
        <v>139605.3468</v>
      </c>
      <c r="Q16" s="18">
        <f t="shared" si="0"/>
        <v>0</v>
      </c>
      <c r="R16" s="18">
        <f t="shared" si="1"/>
        <v>783.91249999999991</v>
      </c>
      <c r="S16" s="18">
        <v>0</v>
      </c>
      <c r="T16" s="18">
        <f t="shared" si="2"/>
        <v>0</v>
      </c>
      <c r="U16" s="18">
        <f>($C16*$C$5*$C$6)+($D16*$D$5*$D$6)+($E16*$E$5*$E$6)+($F16*$F$5*$F$6)+($G16*$G$5*$G$6)+($H16*$H$5*$H$6)+($I16*$I$5*$I$6)</f>
        <v>783.91249999999991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2" x14ac:dyDescent="0.3">
      <c r="A17" s="2" t="s">
        <v>39</v>
      </c>
      <c r="B17" s="41"/>
      <c r="C17" s="18">
        <v>1</v>
      </c>
      <c r="D17" s="18">
        <v>251</v>
      </c>
      <c r="E17" s="18">
        <v>211</v>
      </c>
      <c r="F17" s="18"/>
      <c r="G17" s="18"/>
      <c r="H17" s="18"/>
      <c r="I17" s="18"/>
      <c r="J17" s="18">
        <v>29016</v>
      </c>
      <c r="K17" s="19">
        <f t="shared" si="3"/>
        <v>29479</v>
      </c>
      <c r="L17" s="19">
        <f t="shared" si="4"/>
        <v>58.643999999999991</v>
      </c>
      <c r="M17" s="19">
        <f t="shared" si="5"/>
        <v>23041.8</v>
      </c>
      <c r="N17" s="19">
        <f t="shared" si="6"/>
        <v>3063.2768999999998</v>
      </c>
      <c r="O17" s="19">
        <f t="shared" si="7"/>
        <v>78343.199999999997</v>
      </c>
      <c r="P17" s="18">
        <f t="shared" si="8"/>
        <v>104506.9209</v>
      </c>
      <c r="Q17" s="18">
        <f t="shared" si="0"/>
        <v>0</v>
      </c>
      <c r="R17" s="18">
        <f t="shared" si="1"/>
        <v>373.36250000000001</v>
      </c>
      <c r="S17" s="18">
        <v>0</v>
      </c>
      <c r="T17" s="18">
        <f t="shared" si="2"/>
        <v>0</v>
      </c>
      <c r="U17" s="18">
        <f>($C17*$C$5*$C$6)+($D17*$D$5*$D$6)+($E17*$E$5*$E$6)+($F17*$F$5*$F$6)+($G17*$G$5*$G$6)+($H17*$H$5*$H$6)+($I17*$I$5*$I$6)</f>
        <v>373.36250000000001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2" ht="15" thickBot="1" x14ac:dyDescent="0.35">
      <c r="A18" s="3" t="s">
        <v>50</v>
      </c>
      <c r="B18" s="41"/>
      <c r="C18" s="20">
        <v>63</v>
      </c>
      <c r="D18" s="20">
        <v>412</v>
      </c>
      <c r="E18" s="20">
        <v>639</v>
      </c>
      <c r="F18" s="20"/>
      <c r="G18" s="20"/>
      <c r="H18" s="20"/>
      <c r="I18" s="20"/>
      <c r="J18" s="20">
        <v>29603</v>
      </c>
      <c r="K18" s="21">
        <f t="shared" si="3"/>
        <v>30717</v>
      </c>
      <c r="L18" s="21">
        <f t="shared" si="4"/>
        <v>3694.5719999999997</v>
      </c>
      <c r="M18" s="21">
        <f t="shared" si="5"/>
        <v>37821.599999999999</v>
      </c>
      <c r="N18" s="21">
        <f t="shared" si="6"/>
        <v>9276.9380999999994</v>
      </c>
      <c r="O18" s="21">
        <f t="shared" si="7"/>
        <v>79928.100000000006</v>
      </c>
      <c r="P18" s="20">
        <f t="shared" si="8"/>
        <v>130721.2101</v>
      </c>
      <c r="Q18" s="20">
        <f t="shared" si="0"/>
        <v>0</v>
      </c>
      <c r="R18" s="20">
        <f t="shared" si="1"/>
        <v>612.85</v>
      </c>
      <c r="S18" s="20">
        <v>0</v>
      </c>
      <c r="T18" s="20">
        <f t="shared" si="2"/>
        <v>0</v>
      </c>
      <c r="U18" s="20">
        <f>($C18*$C$5*$C$6)+($D18*$D$5*$D$6)+($E18*$E$5*$E$6)+($F18*$F$5*$F$6)+($G18*$G$5*$G$6)+($H18*$H$5*$H$6)+($I18*$I$5*$I$6)</f>
        <v>612.85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2" x14ac:dyDescent="0.3">
      <c r="A19" s="1" t="s">
        <v>183</v>
      </c>
      <c r="B19" s="41"/>
      <c r="C19" s="16">
        <v>141</v>
      </c>
      <c r="D19" s="16">
        <v>1064</v>
      </c>
      <c r="E19" s="16">
        <v>3934</v>
      </c>
      <c r="F19" s="16"/>
      <c r="G19" s="16"/>
      <c r="H19" s="16"/>
      <c r="I19" s="16"/>
      <c r="J19" s="16"/>
      <c r="K19" s="17">
        <f t="shared" si="3"/>
        <v>5139</v>
      </c>
      <c r="L19" s="17">
        <f>($C19*$C$3*$C$4)</f>
        <v>8268.8039999999983</v>
      </c>
      <c r="M19" s="17">
        <f>($D19*$D$3*$D$4)</f>
        <v>97675.199999999997</v>
      </c>
      <c r="N19" s="17">
        <f>($E19*$E$3*$E$4)</f>
        <v>57113.418599999997</v>
      </c>
      <c r="O19" s="17">
        <f>P19-SUM(L19:N19)</f>
        <v>0</v>
      </c>
      <c r="P19" s="16">
        <f t="shared" si="8"/>
        <v>163057.42259999999</v>
      </c>
      <c r="Q19" s="16">
        <f t="shared" si="0"/>
        <v>0</v>
      </c>
      <c r="R19" s="16">
        <f t="shared" si="1"/>
        <v>1582.6999999999998</v>
      </c>
      <c r="S19" s="16">
        <v>0</v>
      </c>
      <c r="T19" s="16">
        <f t="shared" si="2"/>
        <v>0</v>
      </c>
      <c r="U19" s="16">
        <f t="shared" ref="U19:U29" si="9">($C19*$C$5*$C$6)+($D19*$D$5*$D$6)+($E19*$E$5*$E$6)+($F19*$F$5*$F$6)+($G19*$G$5*$G$6)+($H19*$H$5*$H$6)+($I19*$I$5*$I$6)+($J19*$J$5*$J$6)</f>
        <v>1582.6999999999998</v>
      </c>
      <c r="V19" s="16">
        <f t="shared" ref="V19:V49" si="10">($C19*$C$7*$C$8)</f>
        <v>1292.0006249999999</v>
      </c>
      <c r="W19" s="16">
        <f t="shared" ref="W19:W49" si="11">+($D19*$D$7*$D$8)</f>
        <v>9157.0499999999993</v>
      </c>
      <c r="X19" s="16">
        <f t="shared" ref="X19:X49" si="12">+($E19*$E$7*$E$8)</f>
        <v>38551.557554999999</v>
      </c>
      <c r="Y19" s="16">
        <f t="shared" ref="Y19:Y49" si="13">+Z19-V19-W19-X19</f>
        <v>0</v>
      </c>
      <c r="Z19" s="16">
        <f t="shared" ref="Z19:Z23" si="14">($C19*$C$7*$C$8)+($D19*$D$7*$D$8)+($E19*$E$7*$E$8)+($F19*$F$7*$F$8)+($G19*$G$7*$G$8)+($H19*$H$7*$H$8)+($I19*$I$7*$I$8)+($J19*$J$7*$J$8)</f>
        <v>49000.608179999996</v>
      </c>
      <c r="AA19" s="16">
        <f t="shared" ref="AA19:AA49" si="15">($C19*$C$9*$C$10)</f>
        <v>51.680024999999993</v>
      </c>
      <c r="AB19" s="16">
        <f t="shared" ref="AB19:AB49" si="16">+($D19*$D$9*$D$10)</f>
        <v>508.72500000000002</v>
      </c>
      <c r="AC19" s="16">
        <f t="shared" ref="AC19:AC49" si="17">+($E19*$E$9*$E$10)</f>
        <v>1427.8354649999999</v>
      </c>
      <c r="AD19" s="16">
        <f t="shared" ref="AD19:AD49" si="18">+AE19-AA19-AB19-AC19</f>
        <v>0</v>
      </c>
      <c r="AE19" s="16">
        <f t="shared" ref="AE19:AE23" si="19">($C19*$C$9*$C$10)+($D19*$D$9*$D$10)+($E19*$E$9*$E$10)+($F19*$F$9*$F$10)+($G19*$G$9*$G$10)+($H19*$H$9*$H$10)+($I19*$I$9*$I$10)+($J19*$J$9*$J$10)</f>
        <v>1988.2404899999999</v>
      </c>
      <c r="AF19" s="36">
        <f>P19/SUM(P$19:P$23)</f>
        <v>0.4684791329391591</v>
      </c>
    </row>
    <row r="20" spans="1:32" x14ac:dyDescent="0.3">
      <c r="A20" s="2" t="s">
        <v>184</v>
      </c>
      <c r="B20" s="41"/>
      <c r="C20" s="18">
        <v>33</v>
      </c>
      <c r="D20" s="18">
        <v>277</v>
      </c>
      <c r="E20" s="18">
        <v>745</v>
      </c>
      <c r="F20" s="18"/>
      <c r="G20" s="18"/>
      <c r="H20" s="18"/>
      <c r="I20" s="18"/>
      <c r="J20" s="18"/>
      <c r="K20" s="19">
        <f t="shared" si="3"/>
        <v>1055</v>
      </c>
      <c r="L20" s="19">
        <f t="shared" si="4"/>
        <v>1935.2519999999997</v>
      </c>
      <c r="M20" s="19">
        <f t="shared" si="5"/>
        <v>25428.6</v>
      </c>
      <c r="N20" s="19">
        <f t="shared" si="6"/>
        <v>10815.835499999999</v>
      </c>
      <c r="O20" s="19">
        <f t="shared" ref="O20:O23" si="20">P20-SUM(L20:N20)</f>
        <v>0</v>
      </c>
      <c r="P20" s="18">
        <f t="shared" si="8"/>
        <v>38179.6875</v>
      </c>
      <c r="Q20" s="18">
        <f t="shared" si="0"/>
        <v>0</v>
      </c>
      <c r="R20" s="18">
        <f t="shared" si="1"/>
        <v>412.03749999999997</v>
      </c>
      <c r="S20" s="18">
        <v>0</v>
      </c>
      <c r="T20" s="18">
        <f t="shared" si="2"/>
        <v>0</v>
      </c>
      <c r="U20" s="18">
        <f t="shared" si="9"/>
        <v>412.03749999999997</v>
      </c>
      <c r="V20" s="18">
        <f t="shared" si="10"/>
        <v>302.38312499999995</v>
      </c>
      <c r="W20" s="18">
        <f t="shared" si="11"/>
        <v>2383.9312500000001</v>
      </c>
      <c r="X20" s="18">
        <f t="shared" si="12"/>
        <v>7300.6889624999994</v>
      </c>
      <c r="Y20" s="18">
        <f t="shared" si="13"/>
        <v>0</v>
      </c>
      <c r="Z20" s="18">
        <f t="shared" si="14"/>
        <v>9987.0033374999985</v>
      </c>
      <c r="AA20" s="18">
        <f t="shared" si="15"/>
        <v>12.095324999999999</v>
      </c>
      <c r="AB20" s="18">
        <f t="shared" si="16"/>
        <v>132.44062500000001</v>
      </c>
      <c r="AC20" s="18">
        <f t="shared" si="17"/>
        <v>270.39588750000001</v>
      </c>
      <c r="AD20" s="18">
        <f t="shared" si="18"/>
        <v>0</v>
      </c>
      <c r="AE20" s="18">
        <f t="shared" si="19"/>
        <v>414.93183750000003</v>
      </c>
      <c r="AF20" s="36">
        <f t="shared" ref="AF20:AF23" si="21">P20/SUM(P$19:P$23)</f>
        <v>0.10969379136922561</v>
      </c>
    </row>
    <row r="21" spans="1:32" x14ac:dyDescent="0.3">
      <c r="A21" s="2" t="s">
        <v>185</v>
      </c>
      <c r="B21" s="41"/>
      <c r="C21" s="18">
        <v>23</v>
      </c>
      <c r="D21" s="18">
        <v>128</v>
      </c>
      <c r="E21" s="18">
        <v>342</v>
      </c>
      <c r="F21" s="18"/>
      <c r="G21" s="18"/>
      <c r="H21" s="18"/>
      <c r="I21" s="18"/>
      <c r="J21" s="18"/>
      <c r="K21" s="19">
        <f t="shared" si="3"/>
        <v>493</v>
      </c>
      <c r="L21" s="19">
        <f t="shared" si="4"/>
        <v>1348.8119999999999</v>
      </c>
      <c r="M21" s="19">
        <f t="shared" si="5"/>
        <v>11750.4</v>
      </c>
      <c r="N21" s="19">
        <f t="shared" si="6"/>
        <v>4965.1217999999999</v>
      </c>
      <c r="O21" s="19">
        <f t="shared" si="20"/>
        <v>0</v>
      </c>
      <c r="P21" s="18">
        <f t="shared" si="8"/>
        <v>18064.3338</v>
      </c>
      <c r="Q21" s="18">
        <f t="shared" si="0"/>
        <v>0</v>
      </c>
      <c r="R21" s="18">
        <f t="shared" si="1"/>
        <v>190.39999999999998</v>
      </c>
      <c r="S21" s="18">
        <v>0</v>
      </c>
      <c r="T21" s="18">
        <f t="shared" si="2"/>
        <v>0</v>
      </c>
      <c r="U21" s="18">
        <f t="shared" si="9"/>
        <v>190.39999999999998</v>
      </c>
      <c r="V21" s="18">
        <f t="shared" si="10"/>
        <v>210.75187499999998</v>
      </c>
      <c r="W21" s="18">
        <f t="shared" si="11"/>
        <v>1101.5999999999999</v>
      </c>
      <c r="X21" s="18">
        <f t="shared" si="12"/>
        <v>3351.4572149999999</v>
      </c>
      <c r="Y21" s="18">
        <f t="shared" si="13"/>
        <v>0</v>
      </c>
      <c r="Z21" s="18">
        <f t="shared" si="14"/>
        <v>4663.8090899999997</v>
      </c>
      <c r="AA21" s="18">
        <f t="shared" si="15"/>
        <v>8.4300749999999987</v>
      </c>
      <c r="AB21" s="18">
        <f t="shared" si="16"/>
        <v>61.2</v>
      </c>
      <c r="AC21" s="18">
        <f t="shared" si="17"/>
        <v>124.128045</v>
      </c>
      <c r="AD21" s="18">
        <f t="shared" si="18"/>
        <v>0</v>
      </c>
      <c r="AE21" s="18">
        <f t="shared" si="19"/>
        <v>193.75812000000002</v>
      </c>
      <c r="AF21" s="36">
        <f t="shared" si="21"/>
        <v>5.1900510266912225E-2</v>
      </c>
    </row>
    <row r="22" spans="1:32" x14ac:dyDescent="0.3">
      <c r="A22" s="2" t="s">
        <v>186</v>
      </c>
      <c r="B22" s="41"/>
      <c r="C22" s="18">
        <v>72</v>
      </c>
      <c r="D22" s="18">
        <v>508</v>
      </c>
      <c r="E22" s="18">
        <v>1401</v>
      </c>
      <c r="F22" s="18"/>
      <c r="G22" s="18"/>
      <c r="H22" s="18"/>
      <c r="I22" s="18"/>
      <c r="J22" s="18"/>
      <c r="K22" s="19">
        <f t="shared" si="3"/>
        <v>1981</v>
      </c>
      <c r="L22" s="19">
        <f t="shared" si="4"/>
        <v>4222.3679999999995</v>
      </c>
      <c r="M22" s="19">
        <f t="shared" si="5"/>
        <v>46634.399999999994</v>
      </c>
      <c r="N22" s="19">
        <f t="shared" si="6"/>
        <v>20339.5779</v>
      </c>
      <c r="O22" s="19">
        <f t="shared" si="20"/>
        <v>0</v>
      </c>
      <c r="P22" s="18">
        <f t="shared" si="8"/>
        <v>71196.3459</v>
      </c>
      <c r="Q22" s="18">
        <f t="shared" si="0"/>
        <v>0</v>
      </c>
      <c r="R22" s="18">
        <f t="shared" si="1"/>
        <v>755.65</v>
      </c>
      <c r="S22" s="18">
        <v>0</v>
      </c>
      <c r="T22" s="18">
        <f t="shared" si="2"/>
        <v>0</v>
      </c>
      <c r="U22" s="18">
        <f t="shared" si="9"/>
        <v>755.65</v>
      </c>
      <c r="V22" s="18">
        <f t="shared" si="10"/>
        <v>659.74499999999989</v>
      </c>
      <c r="W22" s="18">
        <f t="shared" si="11"/>
        <v>4371.9749999999995</v>
      </c>
      <c r="X22" s="18">
        <f t="shared" si="12"/>
        <v>13729.215082499999</v>
      </c>
      <c r="Y22" s="18">
        <f t="shared" si="13"/>
        <v>0</v>
      </c>
      <c r="Z22" s="18">
        <f t="shared" si="14"/>
        <v>18760.9350825</v>
      </c>
      <c r="AA22" s="18">
        <f t="shared" si="15"/>
        <v>26.389799999999997</v>
      </c>
      <c r="AB22" s="18">
        <f t="shared" si="16"/>
        <v>242.88750000000002</v>
      </c>
      <c r="AC22" s="18">
        <f t="shared" si="17"/>
        <v>508.48944749999998</v>
      </c>
      <c r="AD22" s="18">
        <f t="shared" si="18"/>
        <v>0</v>
      </c>
      <c r="AE22" s="18">
        <f t="shared" si="19"/>
        <v>777.76674750000006</v>
      </c>
      <c r="AF22" s="36">
        <f t="shared" si="21"/>
        <v>0.20455372017923984</v>
      </c>
    </row>
    <row r="23" spans="1:32" ht="15" thickBot="1" x14ac:dyDescent="0.35">
      <c r="A23" s="3" t="s">
        <v>187</v>
      </c>
      <c r="B23" s="41"/>
      <c r="C23" s="20">
        <v>95</v>
      </c>
      <c r="D23" s="20">
        <v>433</v>
      </c>
      <c r="E23" s="20">
        <v>843</v>
      </c>
      <c r="F23" s="20"/>
      <c r="G23" s="20"/>
      <c r="H23" s="20"/>
      <c r="I23" s="20"/>
      <c r="J23" s="20"/>
      <c r="K23" s="21">
        <f t="shared" si="3"/>
        <v>1371</v>
      </c>
      <c r="L23" s="21">
        <f t="shared" si="4"/>
        <v>5571.1799999999994</v>
      </c>
      <c r="M23" s="21">
        <f t="shared" si="5"/>
        <v>39749.399999999994</v>
      </c>
      <c r="N23" s="21">
        <f t="shared" si="6"/>
        <v>12238.589699999999</v>
      </c>
      <c r="O23" s="21">
        <f t="shared" si="20"/>
        <v>0</v>
      </c>
      <c r="P23" s="20">
        <f t="shared" si="8"/>
        <v>57559.169699999991</v>
      </c>
      <c r="Q23" s="20">
        <f t="shared" si="0"/>
        <v>0</v>
      </c>
      <c r="R23" s="20">
        <f t="shared" si="1"/>
        <v>644.08749999999998</v>
      </c>
      <c r="S23" s="20">
        <v>0</v>
      </c>
      <c r="T23" s="20">
        <f t="shared" si="2"/>
        <v>0</v>
      </c>
      <c r="U23" s="20">
        <f t="shared" si="9"/>
        <v>644.08749999999998</v>
      </c>
      <c r="V23" s="20">
        <f t="shared" si="10"/>
        <v>870.49687499999993</v>
      </c>
      <c r="W23" s="20">
        <f t="shared" si="11"/>
        <v>3726.5062499999999</v>
      </c>
      <c r="X23" s="20">
        <f t="shared" si="12"/>
        <v>8261.0480475000004</v>
      </c>
      <c r="Y23" s="20">
        <f t="shared" si="13"/>
        <v>0</v>
      </c>
      <c r="Z23" s="20">
        <f t="shared" si="14"/>
        <v>12858.0511725</v>
      </c>
      <c r="AA23" s="20">
        <f t="shared" si="15"/>
        <v>34.819874999999996</v>
      </c>
      <c r="AB23" s="20">
        <f t="shared" si="16"/>
        <v>207.02812500000002</v>
      </c>
      <c r="AC23" s="20">
        <f t="shared" si="17"/>
        <v>305.9647425</v>
      </c>
      <c r="AD23" s="20">
        <f t="shared" si="18"/>
        <v>0</v>
      </c>
      <c r="AE23" s="20">
        <f t="shared" si="19"/>
        <v>547.81274250000001</v>
      </c>
      <c r="AF23" s="36">
        <f t="shared" si="21"/>
        <v>0.16537284524546333</v>
      </c>
    </row>
    <row r="24" spans="1:32" x14ac:dyDescent="0.3">
      <c r="A24" s="55" t="s">
        <v>83</v>
      </c>
      <c r="B24" s="41"/>
      <c r="C24" s="53"/>
      <c r="D24" s="53"/>
      <c r="E24" s="53"/>
      <c r="F24" s="16"/>
      <c r="G24" s="16"/>
      <c r="H24" s="16"/>
      <c r="I24" s="16"/>
      <c r="J24" s="16"/>
      <c r="K24" s="17">
        <f t="shared" si="3"/>
        <v>0</v>
      </c>
      <c r="L24" s="17">
        <f>($C24*$C$3*$C$4)</f>
        <v>0</v>
      </c>
      <c r="M24" s="17">
        <f>($D24*$D$3*$D$4)</f>
        <v>0</v>
      </c>
      <c r="N24" s="17">
        <f>($E24*$E$3*$E$4)</f>
        <v>0</v>
      </c>
      <c r="O24" s="17">
        <f>P24-SUM(L24:N24)</f>
        <v>0</v>
      </c>
      <c r="P24" s="16">
        <f t="shared" si="8"/>
        <v>0</v>
      </c>
      <c r="Q24" s="16">
        <f t="shared" si="0"/>
        <v>0</v>
      </c>
      <c r="R24" s="16">
        <f t="shared" si="1"/>
        <v>0</v>
      </c>
      <c r="S24" s="16">
        <v>0</v>
      </c>
      <c r="T24" s="16">
        <f t="shared" si="2"/>
        <v>0</v>
      </c>
      <c r="U24" s="16">
        <f t="shared" si="9"/>
        <v>0</v>
      </c>
      <c r="V24" s="16">
        <f t="shared" si="10"/>
        <v>0</v>
      </c>
      <c r="W24" s="16">
        <f t="shared" si="11"/>
        <v>0</v>
      </c>
      <c r="X24" s="16">
        <f t="shared" si="12"/>
        <v>0</v>
      </c>
      <c r="Y24" s="16">
        <f t="shared" si="13"/>
        <v>0</v>
      </c>
      <c r="Z24" s="16">
        <f>(($C24*$C$7*$C$8)+($D24*$D$7*$D$8)+($E24*$E$7*$E$8)+($F24*$F$7*$F$8)+($G24*$G$7*$G$8)+($H24*$H$7*$H$8)+($I24*$I$7*$I$8)+($J24*$J$7*$J$8))</f>
        <v>0</v>
      </c>
      <c r="AA24" s="16">
        <f t="shared" si="15"/>
        <v>0</v>
      </c>
      <c r="AB24" s="16">
        <f t="shared" si="16"/>
        <v>0</v>
      </c>
      <c r="AC24" s="16">
        <f t="shared" si="17"/>
        <v>0</v>
      </c>
      <c r="AD24" s="16">
        <f t="shared" si="18"/>
        <v>0</v>
      </c>
      <c r="AE24" s="16">
        <f>(($C24*$C$9*$C$10)+($D24*$D$9*$D$10)+($E24*$E$9*$E$10)+($F24*$F$9*$F$10)+($G24*$G$9*$G$10)+($H24*$H$9*$H$10)+($I24*$I$9*$I$10)+($J24*$J$9*$J$10))</f>
        <v>0</v>
      </c>
    </row>
    <row r="25" spans="1:32" x14ac:dyDescent="0.3">
      <c r="A25" s="65" t="s">
        <v>84</v>
      </c>
      <c r="B25" s="41"/>
      <c r="C25" s="50"/>
      <c r="D25" s="50"/>
      <c r="E25" s="50"/>
      <c r="F25" s="18"/>
      <c r="G25" s="18"/>
      <c r="H25" s="18"/>
      <c r="I25" s="18"/>
      <c r="J25" s="18"/>
      <c r="K25" s="19">
        <f t="shared" si="3"/>
        <v>0</v>
      </c>
      <c r="L25" s="19">
        <f t="shared" si="4"/>
        <v>0</v>
      </c>
      <c r="M25" s="19">
        <f t="shared" si="5"/>
        <v>0</v>
      </c>
      <c r="N25" s="19">
        <f t="shared" si="6"/>
        <v>0</v>
      </c>
      <c r="O25" s="19">
        <f t="shared" ref="O25" si="22">P25-SUM(L25:N25)</f>
        <v>0</v>
      </c>
      <c r="P25" s="18">
        <f t="shared" si="8"/>
        <v>0</v>
      </c>
      <c r="Q25" s="18">
        <f t="shared" si="0"/>
        <v>0</v>
      </c>
      <c r="R25" s="18">
        <f t="shared" si="1"/>
        <v>0</v>
      </c>
      <c r="S25" s="18">
        <v>0</v>
      </c>
      <c r="T25" s="18">
        <f t="shared" si="2"/>
        <v>0</v>
      </c>
      <c r="U25" s="18">
        <f t="shared" si="9"/>
        <v>0</v>
      </c>
      <c r="V25" s="18">
        <f t="shared" si="10"/>
        <v>0</v>
      </c>
      <c r="W25" s="18">
        <f t="shared" si="11"/>
        <v>0</v>
      </c>
      <c r="X25" s="18">
        <f t="shared" si="12"/>
        <v>0</v>
      </c>
      <c r="Y25" s="18">
        <f t="shared" si="13"/>
        <v>0</v>
      </c>
      <c r="Z25" s="18">
        <f t="shared" ref="Z25:Z29" si="23">(($C25*$C$7*$C$8)+($D25*$D$7*$D$8)+($E25*$E$7*$E$8)+($F25*$F$7*$F$8)+($G25*$G$7*$G$8)+($H25*$H$7*$H$8)+($I25*$I$7*$I$8)+($J25*$J$7*$J$8))</f>
        <v>0</v>
      </c>
      <c r="AA25" s="18">
        <f t="shared" si="15"/>
        <v>0</v>
      </c>
      <c r="AB25" s="18">
        <f t="shared" si="16"/>
        <v>0</v>
      </c>
      <c r="AC25" s="18">
        <f t="shared" si="17"/>
        <v>0</v>
      </c>
      <c r="AD25" s="18">
        <f t="shared" si="18"/>
        <v>0</v>
      </c>
      <c r="AE25" s="18">
        <f t="shared" ref="AE25:AE29" si="24">(($C25*$C$9*$C$10)+($D25*$D$9*$D$10)+($E25*$E$9*$E$10)+($F25*$F$9*$F$10)+($G25*$G$9*$G$10)+($H25*$H$9*$H$10)+($I25*$I$9*$I$10)+($J25*$J$9*$J$10))</f>
        <v>0</v>
      </c>
    </row>
    <row r="26" spans="1:32" x14ac:dyDescent="0.3">
      <c r="A26" s="56" t="s">
        <v>85</v>
      </c>
      <c r="B26" s="41"/>
      <c r="C26" s="50"/>
      <c r="D26" s="50">
        <v>300</v>
      </c>
      <c r="E26" s="50"/>
      <c r="F26" s="18"/>
      <c r="G26" s="18"/>
      <c r="H26" s="18"/>
      <c r="I26" s="18"/>
      <c r="J26" s="18"/>
      <c r="K26" s="19">
        <f t="shared" si="3"/>
        <v>300</v>
      </c>
      <c r="L26" s="19">
        <f t="shared" si="4"/>
        <v>0</v>
      </c>
      <c r="M26" s="19">
        <f t="shared" si="5"/>
        <v>27539.999999999996</v>
      </c>
      <c r="N26" s="19">
        <f t="shared" si="6"/>
        <v>0</v>
      </c>
      <c r="O26" s="19">
        <f t="shared" ref="O26:O29" si="25">P26-SUM(L26:N26)</f>
        <v>0</v>
      </c>
      <c r="P26" s="18">
        <f t="shared" si="8"/>
        <v>27539.999999999996</v>
      </c>
      <c r="Q26" s="18">
        <f t="shared" si="0"/>
        <v>0</v>
      </c>
      <c r="R26" s="18">
        <f t="shared" si="1"/>
        <v>446.25</v>
      </c>
      <c r="S26" s="18">
        <v>0</v>
      </c>
      <c r="T26" s="18">
        <f t="shared" si="2"/>
        <v>0</v>
      </c>
      <c r="U26" s="18">
        <f t="shared" si="9"/>
        <v>446.25</v>
      </c>
      <c r="V26" s="18">
        <f t="shared" si="10"/>
        <v>0</v>
      </c>
      <c r="W26" s="18">
        <f t="shared" si="11"/>
        <v>2581.875</v>
      </c>
      <c r="X26" s="18">
        <f t="shared" si="12"/>
        <v>0</v>
      </c>
      <c r="Y26" s="18">
        <f t="shared" si="13"/>
        <v>0</v>
      </c>
      <c r="Z26" s="18">
        <f t="shared" si="23"/>
        <v>2581.875</v>
      </c>
      <c r="AA26" s="18">
        <f t="shared" si="15"/>
        <v>0</v>
      </c>
      <c r="AB26" s="18">
        <f t="shared" si="16"/>
        <v>143.4375</v>
      </c>
      <c r="AC26" s="18">
        <f t="shared" si="17"/>
        <v>0</v>
      </c>
      <c r="AD26" s="18">
        <f t="shared" si="18"/>
        <v>0</v>
      </c>
      <c r="AE26" s="18">
        <f t="shared" si="24"/>
        <v>143.4375</v>
      </c>
    </row>
    <row r="27" spans="1:32" x14ac:dyDescent="0.3">
      <c r="A27" s="56" t="s">
        <v>86</v>
      </c>
      <c r="B27" s="41"/>
      <c r="C27" s="50">
        <v>150</v>
      </c>
      <c r="D27" s="50"/>
      <c r="E27" s="50"/>
      <c r="F27" s="18"/>
      <c r="G27" s="18"/>
      <c r="H27" s="18"/>
      <c r="I27" s="18"/>
      <c r="J27" s="18"/>
      <c r="K27" s="19">
        <f t="shared" si="3"/>
        <v>150</v>
      </c>
      <c r="L27" s="19">
        <f t="shared" si="4"/>
        <v>8796.5999999999985</v>
      </c>
      <c r="M27" s="19">
        <f t="shared" si="5"/>
        <v>0</v>
      </c>
      <c r="N27" s="19">
        <f t="shared" si="6"/>
        <v>0</v>
      </c>
      <c r="O27" s="19">
        <f t="shared" si="25"/>
        <v>0</v>
      </c>
      <c r="P27" s="18">
        <f t="shared" si="8"/>
        <v>8796.5999999999985</v>
      </c>
      <c r="Q27" s="18">
        <f t="shared" si="0"/>
        <v>0</v>
      </c>
      <c r="R27" s="18">
        <f t="shared" si="1"/>
        <v>0</v>
      </c>
      <c r="S27" s="18">
        <v>0</v>
      </c>
      <c r="T27" s="18">
        <f t="shared" si="2"/>
        <v>0</v>
      </c>
      <c r="U27" s="18">
        <f t="shared" si="9"/>
        <v>0</v>
      </c>
      <c r="V27" s="18">
        <f t="shared" si="10"/>
        <v>1374.4687499999998</v>
      </c>
      <c r="W27" s="18">
        <f t="shared" si="11"/>
        <v>0</v>
      </c>
      <c r="X27" s="18">
        <f t="shared" si="12"/>
        <v>0</v>
      </c>
      <c r="Y27" s="18">
        <f t="shared" si="13"/>
        <v>0</v>
      </c>
      <c r="Z27" s="18">
        <f t="shared" si="23"/>
        <v>1374.4687499999998</v>
      </c>
      <c r="AA27" s="18">
        <f t="shared" si="15"/>
        <v>54.978749999999998</v>
      </c>
      <c r="AB27" s="18">
        <f t="shared" si="16"/>
        <v>0</v>
      </c>
      <c r="AC27" s="18">
        <f t="shared" si="17"/>
        <v>0</v>
      </c>
      <c r="AD27" s="18">
        <f t="shared" si="18"/>
        <v>0</v>
      </c>
      <c r="AE27" s="18">
        <f t="shared" si="24"/>
        <v>54.978749999999998</v>
      </c>
    </row>
    <row r="28" spans="1:32" x14ac:dyDescent="0.3">
      <c r="A28" s="66" t="s">
        <v>87</v>
      </c>
      <c r="B28" s="41"/>
      <c r="C28" s="67"/>
      <c r="D28" s="67">
        <v>100</v>
      </c>
      <c r="E28" s="67"/>
      <c r="F28" s="68"/>
      <c r="G28" s="68"/>
      <c r="H28" s="68"/>
      <c r="I28" s="68"/>
      <c r="J28" s="68"/>
      <c r="K28" s="19">
        <f t="shared" ref="K28" si="26">SUM(C28:J28)</f>
        <v>100</v>
      </c>
      <c r="L28" s="19">
        <f t="shared" si="4"/>
        <v>0</v>
      </c>
      <c r="M28" s="19">
        <f t="shared" si="5"/>
        <v>9180</v>
      </c>
      <c r="N28" s="19">
        <f t="shared" si="6"/>
        <v>0</v>
      </c>
      <c r="O28" s="19">
        <f t="shared" si="25"/>
        <v>0</v>
      </c>
      <c r="P28" s="18">
        <f t="shared" si="8"/>
        <v>9180</v>
      </c>
      <c r="Q28" s="18">
        <f t="shared" si="0"/>
        <v>0</v>
      </c>
      <c r="R28" s="18">
        <f t="shared" si="1"/>
        <v>148.75</v>
      </c>
      <c r="S28" s="18">
        <v>0</v>
      </c>
      <c r="T28" s="18">
        <f t="shared" si="2"/>
        <v>0</v>
      </c>
      <c r="U28" s="18">
        <f t="shared" si="9"/>
        <v>148.75</v>
      </c>
      <c r="V28" s="18">
        <f t="shared" si="10"/>
        <v>0</v>
      </c>
      <c r="W28" s="18">
        <f t="shared" si="11"/>
        <v>860.625</v>
      </c>
      <c r="X28" s="18">
        <f t="shared" si="12"/>
        <v>0</v>
      </c>
      <c r="Y28" s="18">
        <f t="shared" si="13"/>
        <v>0</v>
      </c>
      <c r="Z28" s="18">
        <f t="shared" si="23"/>
        <v>860.625</v>
      </c>
      <c r="AA28" s="18">
        <f t="shared" si="15"/>
        <v>0</v>
      </c>
      <c r="AB28" s="18">
        <f t="shared" si="16"/>
        <v>47.8125</v>
      </c>
      <c r="AC28" s="18">
        <f t="shared" si="17"/>
        <v>0</v>
      </c>
      <c r="AD28" s="18">
        <f t="shared" si="18"/>
        <v>0</v>
      </c>
      <c r="AE28" s="18">
        <f t="shared" si="24"/>
        <v>47.8125</v>
      </c>
    </row>
    <row r="29" spans="1:32" ht="15" thickBot="1" x14ac:dyDescent="0.35">
      <c r="A29" s="57" t="s">
        <v>88</v>
      </c>
      <c r="B29" s="42"/>
      <c r="C29" s="54"/>
      <c r="D29" s="54"/>
      <c r="E29" s="54">
        <v>600</v>
      </c>
      <c r="F29" s="20"/>
      <c r="G29" s="20"/>
      <c r="H29" s="20"/>
      <c r="I29" s="20"/>
      <c r="J29" s="20"/>
      <c r="K29" s="21">
        <f t="shared" si="3"/>
        <v>600</v>
      </c>
      <c r="L29" s="21">
        <f t="shared" si="4"/>
        <v>0</v>
      </c>
      <c r="M29" s="21">
        <f t="shared" si="5"/>
        <v>0</v>
      </c>
      <c r="N29" s="21">
        <f t="shared" si="6"/>
        <v>8710.74</v>
      </c>
      <c r="O29" s="21">
        <f t="shared" si="25"/>
        <v>0</v>
      </c>
      <c r="P29" s="20">
        <f t="shared" si="8"/>
        <v>8710.74</v>
      </c>
      <c r="Q29" s="20">
        <f t="shared" si="0"/>
        <v>0</v>
      </c>
      <c r="R29" s="20">
        <f t="shared" si="1"/>
        <v>0</v>
      </c>
      <c r="S29" s="20">
        <v>0</v>
      </c>
      <c r="T29" s="20">
        <f t="shared" si="2"/>
        <v>0</v>
      </c>
      <c r="U29" s="20">
        <f t="shared" si="9"/>
        <v>0</v>
      </c>
      <c r="V29" s="20">
        <f t="shared" si="10"/>
        <v>0</v>
      </c>
      <c r="W29" s="20">
        <f t="shared" si="11"/>
        <v>0</v>
      </c>
      <c r="X29" s="20">
        <f t="shared" si="12"/>
        <v>5879.7494999999999</v>
      </c>
      <c r="Y29" s="20">
        <f t="shared" si="13"/>
        <v>0</v>
      </c>
      <c r="Z29" s="20">
        <f t="shared" si="23"/>
        <v>5879.7494999999999</v>
      </c>
      <c r="AA29" s="20">
        <f t="shared" si="15"/>
        <v>0</v>
      </c>
      <c r="AB29" s="20">
        <f t="shared" si="16"/>
        <v>0</v>
      </c>
      <c r="AC29" s="20">
        <f t="shared" si="17"/>
        <v>217.76849999999999</v>
      </c>
      <c r="AD29" s="20">
        <f t="shared" si="18"/>
        <v>0</v>
      </c>
      <c r="AE29" s="20">
        <f t="shared" si="24"/>
        <v>217.76849999999999</v>
      </c>
    </row>
    <row r="30" spans="1:32" x14ac:dyDescent="0.3">
      <c r="A30" s="4" t="s">
        <v>62</v>
      </c>
      <c r="B30" s="23">
        <v>333</v>
      </c>
      <c r="C30" s="22">
        <v>1</v>
      </c>
      <c r="D30" s="22">
        <v>7</v>
      </c>
      <c r="E30" s="22">
        <v>73</v>
      </c>
      <c r="F30" s="22">
        <v>216</v>
      </c>
      <c r="G30" s="22">
        <v>242</v>
      </c>
      <c r="H30" s="22">
        <v>400</v>
      </c>
      <c r="I30" s="22">
        <v>13</v>
      </c>
      <c r="J30" s="22">
        <v>1976</v>
      </c>
      <c r="K30" s="23">
        <f t="shared" si="3"/>
        <v>2928</v>
      </c>
      <c r="L30" s="17">
        <f>($C30*$C$3*$C$4)</f>
        <v>58.643999999999991</v>
      </c>
      <c r="M30" s="17">
        <f>($D30*$D$3*$D$4)</f>
        <v>642.59999999999991</v>
      </c>
      <c r="N30" s="17">
        <f>($E30*$E$3*$E$4)</f>
        <v>1059.8066999999999</v>
      </c>
      <c r="O30" s="17">
        <f>P30-SUM(L30:N30)</f>
        <v>9254.7000000000007</v>
      </c>
      <c r="P30" s="22">
        <f t="shared" si="8"/>
        <v>11015.750700000001</v>
      </c>
      <c r="Q30" s="22">
        <f t="shared" si="0"/>
        <v>0</v>
      </c>
      <c r="R30" s="22">
        <f t="shared" si="1"/>
        <v>10.4125</v>
      </c>
      <c r="S30" s="22">
        <v>0</v>
      </c>
      <c r="T30" s="22">
        <f t="shared" si="2"/>
        <v>82.382999999999996</v>
      </c>
      <c r="U30" s="22">
        <f>($C30*$C$5*$C$6)+($D30*$D$5*$D$6)+($E30*$E$5*$E$6)+($F30*$F$5*$F$6)+($G30*$G$5*$G$6)+($H30*$H$5*$H$6)+($I30*$I$5*$I$6)</f>
        <v>92.79549999999999</v>
      </c>
      <c r="V30" s="22">
        <f t="shared" si="10"/>
        <v>9.1631249999999991</v>
      </c>
      <c r="W30" s="22">
        <f t="shared" si="11"/>
        <v>60.243749999999999</v>
      </c>
      <c r="X30" s="22">
        <f t="shared" si="12"/>
        <v>715.36952250000002</v>
      </c>
      <c r="Y30" s="22">
        <f t="shared" si="13"/>
        <v>0</v>
      </c>
      <c r="Z30" s="22">
        <f>(($C30*$C$7*$C$8)+($D30*$D$7*$D$8)+($E30*$E$7*$E$8)+($F30*$F$7*$F$8)+($G30*$G$7*$G$8)+($H30*$H$7*$H$8)+($I30*$I$7*$I$8)+($J30*$J$7*$J$8))</f>
        <v>784.77639750000003</v>
      </c>
      <c r="AA30" s="22">
        <f t="shared" si="15"/>
        <v>0.36652499999999999</v>
      </c>
      <c r="AB30" s="22">
        <f t="shared" si="16"/>
        <v>3.3468750000000003</v>
      </c>
      <c r="AC30" s="22">
        <f t="shared" si="17"/>
        <v>26.495167500000001</v>
      </c>
      <c r="AD30" s="22">
        <f t="shared" si="18"/>
        <v>0</v>
      </c>
      <c r="AE30" s="22">
        <f>(($C30*$C$9*$C$10)+($D30*$D$9*$D$10)+($E30*$E$9*$E$10)+($F30*$F$9*$F$10)+($G30*$G$9*$G$10)+($H30*$H$9*$H$10)+($I30*$I$9*$I$10)+($J30*$J$9*$J$10))</f>
        <v>30.208567500000001</v>
      </c>
    </row>
    <row r="31" spans="1:32" x14ac:dyDescent="0.3">
      <c r="A31" s="5" t="s">
        <v>63</v>
      </c>
      <c r="B31" s="25">
        <v>1069</v>
      </c>
      <c r="C31" s="24">
        <v>3</v>
      </c>
      <c r="D31" s="24">
        <v>36</v>
      </c>
      <c r="E31" s="24">
        <v>70</v>
      </c>
      <c r="F31" s="24">
        <v>482</v>
      </c>
      <c r="G31" s="24">
        <v>985</v>
      </c>
      <c r="H31" s="24">
        <v>1916</v>
      </c>
      <c r="I31" s="24">
        <v>46</v>
      </c>
      <c r="J31" s="24">
        <v>6043</v>
      </c>
      <c r="K31" s="25">
        <f t="shared" si="3"/>
        <v>9581</v>
      </c>
      <c r="L31" s="19">
        <f t="shared" si="4"/>
        <v>175.93199999999999</v>
      </c>
      <c r="M31" s="19">
        <f t="shared" si="5"/>
        <v>3304.7999999999997</v>
      </c>
      <c r="N31" s="19">
        <f t="shared" si="6"/>
        <v>1016.2529999999999</v>
      </c>
      <c r="O31" s="19">
        <f t="shared" ref="O31" si="27">P31-SUM(L31:N31)</f>
        <v>31746.6</v>
      </c>
      <c r="P31" s="24">
        <f t="shared" si="8"/>
        <v>36243.584999999999</v>
      </c>
      <c r="Q31" s="24">
        <f t="shared" si="0"/>
        <v>0</v>
      </c>
      <c r="R31" s="24">
        <f t="shared" si="1"/>
        <v>53.55</v>
      </c>
      <c r="S31" s="24">
        <v>0</v>
      </c>
      <c r="T31" s="24">
        <f t="shared" si="2"/>
        <v>339.80099999999993</v>
      </c>
      <c r="U31" s="24">
        <f>($C31*$C$5*$C$6)+($D31*$D$5*$D$6)+($E31*$E$5*$E$6)+($F31*$F$5*$F$6)+($G31*$G$5*$G$6)+($H31*$H$5*$H$6)+($I31*$I$5*$I$6)</f>
        <v>393.35099999999994</v>
      </c>
      <c r="V31" s="24">
        <f t="shared" si="10"/>
        <v>27.489374999999999</v>
      </c>
      <c r="W31" s="24">
        <f t="shared" si="11"/>
        <v>309.82499999999999</v>
      </c>
      <c r="X31" s="24">
        <f t="shared" si="12"/>
        <v>685.970775</v>
      </c>
      <c r="Y31" s="24">
        <f t="shared" si="13"/>
        <v>0</v>
      </c>
      <c r="Z31" s="24">
        <f t="shared" ref="Z31:Z47" si="28">(($C31*$C$7*$C$8)+($D31*$D$7*$D$8)+($E31*$E$7*$E$8)+($F31*$F$7*$F$8)+($G31*$G$7*$G$8)+($H31*$H$7*$H$8)+($I31*$I$7*$I$8)+($J31*$J$7*$J$8))</f>
        <v>1023.2851499999999</v>
      </c>
      <c r="AA31" s="24">
        <f t="shared" si="15"/>
        <v>1.099575</v>
      </c>
      <c r="AB31" s="24">
        <f t="shared" si="16"/>
        <v>17.212499999999999</v>
      </c>
      <c r="AC31" s="24">
        <f t="shared" si="17"/>
        <v>25.406324999999999</v>
      </c>
      <c r="AD31" s="24">
        <f t="shared" si="18"/>
        <v>0</v>
      </c>
      <c r="AE31" s="24">
        <f t="shared" ref="AE31:AE47" si="29">(($C31*$C$9*$C$10)+($D31*$D$9*$D$10)+($E31*$E$9*$E$10)+($F31*$F$9*$F$10)+($G31*$G$9*$G$10)+($H31*$H$9*$H$10)+($I31*$I$9*$I$10)+($J31*$J$9*$J$10))</f>
        <v>43.718400000000003</v>
      </c>
    </row>
    <row r="32" spans="1:32" x14ac:dyDescent="0.3">
      <c r="A32" s="5" t="s">
        <v>64</v>
      </c>
      <c r="B32" s="25">
        <v>746</v>
      </c>
      <c r="C32" s="24">
        <v>27</v>
      </c>
      <c r="D32" s="24">
        <v>11</v>
      </c>
      <c r="E32" s="24">
        <v>85</v>
      </c>
      <c r="F32" s="24">
        <v>282</v>
      </c>
      <c r="G32" s="24">
        <v>711</v>
      </c>
      <c r="H32" s="24">
        <v>500</v>
      </c>
      <c r="I32" s="24">
        <v>24</v>
      </c>
      <c r="J32" s="24">
        <v>3223</v>
      </c>
      <c r="K32" s="25">
        <f t="shared" si="3"/>
        <v>4863</v>
      </c>
      <c r="L32" s="25">
        <f t="shared" si="4"/>
        <v>1583.3879999999997</v>
      </c>
      <c r="M32" s="25">
        <f t="shared" si="5"/>
        <v>1009.8</v>
      </c>
      <c r="N32" s="25">
        <f t="shared" si="6"/>
        <v>1234.0214999999998</v>
      </c>
      <c r="O32" s="25">
        <f t="shared" ref="O32:O49" si="30">P32-SUM(L32:N32)</f>
        <v>15528.599999999997</v>
      </c>
      <c r="P32" s="24">
        <f t="shared" si="8"/>
        <v>19355.809499999996</v>
      </c>
      <c r="Q32" s="24">
        <f t="shared" si="0"/>
        <v>0</v>
      </c>
      <c r="R32" s="24">
        <f t="shared" si="1"/>
        <v>16.362500000000001</v>
      </c>
      <c r="S32" s="24">
        <v>0</v>
      </c>
      <c r="T32" s="24">
        <f t="shared" si="2"/>
        <v>147.44099999999997</v>
      </c>
      <c r="U32" s="24">
        <f>($C32*$C$5*$C$6)+($D32*$D$5*$D$6)+($E32*$E$5*$E$6)+($F32*$F$5*$F$6)+($G32*$G$5*$G$6)+($H32*$H$5*$H$6)+($I32*$I$5*$I$6)</f>
        <v>163.80349999999999</v>
      </c>
      <c r="V32" s="24">
        <f t="shared" si="10"/>
        <v>247.40437499999999</v>
      </c>
      <c r="W32" s="24">
        <f t="shared" si="11"/>
        <v>94.668750000000003</v>
      </c>
      <c r="X32" s="24">
        <f t="shared" si="12"/>
        <v>832.96451249999996</v>
      </c>
      <c r="Y32" s="24">
        <f t="shared" si="13"/>
        <v>0</v>
      </c>
      <c r="Z32" s="24">
        <f t="shared" si="28"/>
        <v>1175.0376375000001</v>
      </c>
      <c r="AA32" s="24">
        <f t="shared" si="15"/>
        <v>9.8961749999999995</v>
      </c>
      <c r="AB32" s="24">
        <f t="shared" si="16"/>
        <v>5.2593750000000004</v>
      </c>
      <c r="AC32" s="24">
        <f t="shared" si="17"/>
        <v>30.850537499999998</v>
      </c>
      <c r="AD32" s="24">
        <f t="shared" si="18"/>
        <v>0</v>
      </c>
      <c r="AE32" s="24">
        <f t="shared" si="29"/>
        <v>46.0060875</v>
      </c>
    </row>
    <row r="33" spans="1:31" x14ac:dyDescent="0.3">
      <c r="A33" s="5" t="s">
        <v>65</v>
      </c>
      <c r="B33" s="25">
        <v>1443</v>
      </c>
      <c r="C33" s="24">
        <v>2</v>
      </c>
      <c r="D33" s="24">
        <v>9</v>
      </c>
      <c r="E33" s="24">
        <v>57</v>
      </c>
      <c r="F33" s="24">
        <v>481</v>
      </c>
      <c r="G33" s="24">
        <v>756</v>
      </c>
      <c r="H33" s="24"/>
      <c r="I33" s="24">
        <v>29</v>
      </c>
      <c r="J33" s="24">
        <v>3836</v>
      </c>
      <c r="K33" s="25">
        <f t="shared" si="3"/>
        <v>5170</v>
      </c>
      <c r="L33" s="25">
        <f t="shared" si="4"/>
        <v>117.28799999999998</v>
      </c>
      <c r="M33" s="25">
        <f t="shared" si="5"/>
        <v>826.19999999999993</v>
      </c>
      <c r="N33" s="25">
        <f t="shared" si="6"/>
        <v>827.52029999999991</v>
      </c>
      <c r="O33" s="25">
        <f t="shared" si="30"/>
        <v>16054.199999999999</v>
      </c>
      <c r="P33" s="24">
        <f t="shared" si="8"/>
        <v>17825.208299999998</v>
      </c>
      <c r="Q33" s="24">
        <f t="shared" si="0"/>
        <v>0</v>
      </c>
      <c r="R33" s="24">
        <f t="shared" si="1"/>
        <v>13.387499999999999</v>
      </c>
      <c r="S33" s="24">
        <v>0</v>
      </c>
      <c r="T33" s="24">
        <f t="shared" si="2"/>
        <v>112.72799999999999</v>
      </c>
      <c r="U33" s="24">
        <f t="shared" ref="U33:U48" si="31">($C33*$C$5*$C$6)+($D33*$D$5*$D$6)+($E33*$E$5*$E$6)+($F33*$F$5*$F$6)+($G33*$G$5*$G$6)+($H33*$H$5*$H$6)+($I33*$I$5*$I$6)</f>
        <v>126.1155</v>
      </c>
      <c r="V33" s="24">
        <f t="shared" si="10"/>
        <v>18.326249999999998</v>
      </c>
      <c r="W33" s="24">
        <f t="shared" si="11"/>
        <v>77.456249999999997</v>
      </c>
      <c r="X33" s="24">
        <f t="shared" si="12"/>
        <v>558.57620250000002</v>
      </c>
      <c r="Y33" s="24">
        <f t="shared" si="13"/>
        <v>0</v>
      </c>
      <c r="Z33" s="24">
        <f t="shared" si="28"/>
        <v>654.35870250000005</v>
      </c>
      <c r="AA33" s="24">
        <f t="shared" si="15"/>
        <v>0.73304999999999998</v>
      </c>
      <c r="AB33" s="24">
        <f t="shared" si="16"/>
        <v>4.3031249999999996</v>
      </c>
      <c r="AC33" s="24">
        <f t="shared" si="17"/>
        <v>20.688007499999998</v>
      </c>
      <c r="AD33" s="24">
        <f t="shared" si="18"/>
        <v>0</v>
      </c>
      <c r="AE33" s="24">
        <f t="shared" si="29"/>
        <v>25.724182499999998</v>
      </c>
    </row>
    <row r="34" spans="1:31" x14ac:dyDescent="0.3">
      <c r="A34" s="5" t="s">
        <v>66</v>
      </c>
      <c r="B34" s="25">
        <v>1341</v>
      </c>
      <c r="C34" s="24">
        <v>12</v>
      </c>
      <c r="D34" s="24">
        <v>3</v>
      </c>
      <c r="E34" s="24">
        <v>79</v>
      </c>
      <c r="F34" s="24">
        <v>510</v>
      </c>
      <c r="G34" s="24">
        <v>1031</v>
      </c>
      <c r="H34" s="24">
        <v>30</v>
      </c>
      <c r="I34" s="24">
        <v>45</v>
      </c>
      <c r="J34" s="24">
        <v>5317</v>
      </c>
      <c r="K34" s="43">
        <f>SUM(C34:J34)</f>
        <v>7027</v>
      </c>
      <c r="L34" s="43">
        <f t="shared" si="4"/>
        <v>703.72799999999995</v>
      </c>
      <c r="M34" s="43">
        <f t="shared" si="5"/>
        <v>275.39999999999998</v>
      </c>
      <c r="N34" s="43">
        <f t="shared" si="6"/>
        <v>1146.9141</v>
      </c>
      <c r="O34" s="43">
        <f t="shared" si="30"/>
        <v>21627.899999999998</v>
      </c>
      <c r="P34" s="24">
        <f t="shared" si="8"/>
        <v>23753.942099999997</v>
      </c>
      <c r="Q34" s="24">
        <f t="shared" si="0"/>
        <v>0</v>
      </c>
      <c r="R34" s="24">
        <f t="shared" si="1"/>
        <v>4.4624999999999995</v>
      </c>
      <c r="S34" s="24">
        <v>0</v>
      </c>
      <c r="T34" s="24">
        <f t="shared" si="2"/>
        <v>148.26</v>
      </c>
      <c r="U34" s="24">
        <f t="shared" si="31"/>
        <v>152.7225</v>
      </c>
      <c r="V34" s="24">
        <f t="shared" si="10"/>
        <v>109.9575</v>
      </c>
      <c r="W34" s="24">
        <f t="shared" si="11"/>
        <v>25.818749999999998</v>
      </c>
      <c r="X34" s="24">
        <f t="shared" si="12"/>
        <v>774.16701749999993</v>
      </c>
      <c r="Y34" s="24">
        <f t="shared" si="13"/>
        <v>0</v>
      </c>
      <c r="Z34" s="24">
        <f t="shared" si="28"/>
        <v>909.94326749999993</v>
      </c>
      <c r="AA34" s="24">
        <f t="shared" si="15"/>
        <v>4.3982999999999999</v>
      </c>
      <c r="AB34" s="24">
        <f t="shared" si="16"/>
        <v>1.434375</v>
      </c>
      <c r="AC34" s="24">
        <f t="shared" si="17"/>
        <v>28.672852499999998</v>
      </c>
      <c r="AD34" s="24">
        <f t="shared" si="18"/>
        <v>0</v>
      </c>
      <c r="AE34" s="24">
        <f t="shared" si="29"/>
        <v>34.505527499999999</v>
      </c>
    </row>
    <row r="35" spans="1:31" x14ac:dyDescent="0.3">
      <c r="A35" s="5" t="s">
        <v>67</v>
      </c>
      <c r="B35" s="25">
        <v>893</v>
      </c>
      <c r="C35" s="24">
        <v>1</v>
      </c>
      <c r="D35" s="24">
        <v>4</v>
      </c>
      <c r="E35" s="24">
        <v>53</v>
      </c>
      <c r="F35" s="24">
        <v>364</v>
      </c>
      <c r="G35" s="24">
        <v>570</v>
      </c>
      <c r="H35" s="24">
        <v>1500</v>
      </c>
      <c r="I35" s="24">
        <v>47</v>
      </c>
      <c r="J35" s="24">
        <v>5653</v>
      </c>
      <c r="K35" s="25">
        <f t="shared" si="3"/>
        <v>8192</v>
      </c>
      <c r="L35" s="25">
        <f t="shared" si="4"/>
        <v>58.643999999999991</v>
      </c>
      <c r="M35" s="25">
        <f t="shared" si="5"/>
        <v>367.2</v>
      </c>
      <c r="N35" s="25">
        <f t="shared" si="6"/>
        <v>769.44869999999992</v>
      </c>
      <c r="O35" s="25">
        <f t="shared" si="30"/>
        <v>26427.599999999999</v>
      </c>
      <c r="P35" s="24">
        <f t="shared" si="8"/>
        <v>27622.892699999997</v>
      </c>
      <c r="Q35" s="24">
        <f t="shared" si="0"/>
        <v>0</v>
      </c>
      <c r="R35" s="24">
        <f t="shared" si="1"/>
        <v>5.9499999999999993</v>
      </c>
      <c r="S35" s="24">
        <v>0</v>
      </c>
      <c r="T35" s="24">
        <f t="shared" si="2"/>
        <v>245.21699999999998</v>
      </c>
      <c r="U35" s="24">
        <f t="shared" si="31"/>
        <v>251.16699999999997</v>
      </c>
      <c r="V35" s="24">
        <f t="shared" si="10"/>
        <v>9.1631249999999991</v>
      </c>
      <c r="W35" s="24">
        <f t="shared" si="11"/>
        <v>34.424999999999997</v>
      </c>
      <c r="X35" s="24">
        <f t="shared" si="12"/>
        <v>519.37787249999997</v>
      </c>
      <c r="Y35" s="24">
        <f t="shared" si="13"/>
        <v>0</v>
      </c>
      <c r="Z35" s="24">
        <f t="shared" si="28"/>
        <v>562.96599749999996</v>
      </c>
      <c r="AA35" s="24">
        <f t="shared" si="15"/>
        <v>0.36652499999999999</v>
      </c>
      <c r="AB35" s="24">
        <f t="shared" si="16"/>
        <v>1.9125000000000001</v>
      </c>
      <c r="AC35" s="24">
        <f t="shared" si="17"/>
        <v>19.236217499999999</v>
      </c>
      <c r="AD35" s="24">
        <f t="shared" si="18"/>
        <v>0</v>
      </c>
      <c r="AE35" s="24">
        <f t="shared" si="29"/>
        <v>21.515242499999999</v>
      </c>
    </row>
    <row r="36" spans="1:31" x14ac:dyDescent="0.3">
      <c r="A36" s="5" t="s">
        <v>68</v>
      </c>
      <c r="B36" s="25">
        <v>1020</v>
      </c>
      <c r="C36" s="24">
        <v>0</v>
      </c>
      <c r="D36" s="24">
        <v>3</v>
      </c>
      <c r="E36" s="24">
        <v>33</v>
      </c>
      <c r="F36" s="24">
        <v>551</v>
      </c>
      <c r="G36" s="24">
        <v>722</v>
      </c>
      <c r="H36" s="24">
        <v>360</v>
      </c>
      <c r="I36" s="24">
        <v>92</v>
      </c>
      <c r="J36" s="24">
        <v>6042</v>
      </c>
      <c r="K36" s="25">
        <f t="shared" si="3"/>
        <v>7803</v>
      </c>
      <c r="L36" s="25">
        <f t="shared" si="4"/>
        <v>0</v>
      </c>
      <c r="M36" s="25">
        <f t="shared" si="5"/>
        <v>275.39999999999998</v>
      </c>
      <c r="N36" s="25">
        <f t="shared" si="6"/>
        <v>479.09069999999997</v>
      </c>
      <c r="O36" s="25">
        <f t="shared" si="30"/>
        <v>24075.899999999998</v>
      </c>
      <c r="P36" s="24">
        <f t="shared" si="8"/>
        <v>24830.390699999996</v>
      </c>
      <c r="Q36" s="24">
        <f t="shared" si="0"/>
        <v>0</v>
      </c>
      <c r="R36" s="24">
        <f t="shared" si="1"/>
        <v>4.4624999999999995</v>
      </c>
      <c r="S36" s="24">
        <v>0</v>
      </c>
      <c r="T36" s="24">
        <f t="shared" si="2"/>
        <v>157.98299999999995</v>
      </c>
      <c r="U36" s="24">
        <f t="shared" si="31"/>
        <v>162.44549999999995</v>
      </c>
      <c r="V36" s="24">
        <f t="shared" si="10"/>
        <v>0</v>
      </c>
      <c r="W36" s="24">
        <f t="shared" si="11"/>
        <v>25.818749999999998</v>
      </c>
      <c r="X36" s="24">
        <f t="shared" si="12"/>
        <v>323.38622249999997</v>
      </c>
      <c r="Y36" s="24">
        <f t="shared" si="13"/>
        <v>0</v>
      </c>
      <c r="Z36" s="24">
        <f t="shared" si="28"/>
        <v>349.2049725</v>
      </c>
      <c r="AA36" s="24">
        <f t="shared" si="15"/>
        <v>0</v>
      </c>
      <c r="AB36" s="24">
        <f t="shared" si="16"/>
        <v>1.434375</v>
      </c>
      <c r="AC36" s="24">
        <f t="shared" si="17"/>
        <v>11.9772675</v>
      </c>
      <c r="AD36" s="24">
        <f t="shared" si="18"/>
        <v>0</v>
      </c>
      <c r="AE36" s="24">
        <f t="shared" si="29"/>
        <v>13.411642499999999</v>
      </c>
    </row>
    <row r="37" spans="1:31" x14ac:dyDescent="0.3">
      <c r="A37" s="5" t="s">
        <v>69</v>
      </c>
      <c r="B37" s="25">
        <v>189</v>
      </c>
      <c r="C37" s="24">
        <v>4</v>
      </c>
      <c r="D37" s="24">
        <v>34</v>
      </c>
      <c r="E37" s="24">
        <v>177</v>
      </c>
      <c r="F37" s="24">
        <v>86</v>
      </c>
      <c r="G37" s="24">
        <v>128</v>
      </c>
      <c r="H37" s="24">
        <v>180</v>
      </c>
      <c r="I37" s="24">
        <v>20</v>
      </c>
      <c r="J37" s="24">
        <v>953</v>
      </c>
      <c r="K37" s="25">
        <f t="shared" si="3"/>
        <v>1582</v>
      </c>
      <c r="L37" s="25">
        <f t="shared" si="4"/>
        <v>234.57599999999996</v>
      </c>
      <c r="M37" s="25">
        <f t="shared" si="5"/>
        <v>3121.2</v>
      </c>
      <c r="N37" s="25">
        <f t="shared" si="6"/>
        <v>2569.6682999999998</v>
      </c>
      <c r="O37" s="25">
        <f t="shared" si="30"/>
        <v>4436.1000000000004</v>
      </c>
      <c r="P37" s="24">
        <f t="shared" si="8"/>
        <v>10361.5443</v>
      </c>
      <c r="Q37" s="24">
        <f t="shared" si="0"/>
        <v>0</v>
      </c>
      <c r="R37" s="24">
        <f t="shared" si="1"/>
        <v>50.574999999999996</v>
      </c>
      <c r="S37" s="24">
        <v>0</v>
      </c>
      <c r="T37" s="24">
        <f t="shared" si="2"/>
        <v>39.857999999999997</v>
      </c>
      <c r="U37" s="24">
        <f t="shared" si="31"/>
        <v>90.432999999999993</v>
      </c>
      <c r="V37" s="24">
        <f t="shared" si="10"/>
        <v>36.652499999999996</v>
      </c>
      <c r="W37" s="24">
        <f t="shared" si="11"/>
        <v>292.61250000000001</v>
      </c>
      <c r="X37" s="24">
        <f t="shared" si="12"/>
        <v>1734.5261025</v>
      </c>
      <c r="Y37" s="24">
        <f t="shared" si="13"/>
        <v>0</v>
      </c>
      <c r="Z37" s="24">
        <f t="shared" si="28"/>
        <v>2063.7911024999999</v>
      </c>
      <c r="AA37" s="24">
        <f t="shared" si="15"/>
        <v>1.4661</v>
      </c>
      <c r="AB37" s="24">
        <f t="shared" si="16"/>
        <v>16.256250000000001</v>
      </c>
      <c r="AC37" s="24">
        <f t="shared" si="17"/>
        <v>64.241707500000004</v>
      </c>
      <c r="AD37" s="24">
        <f t="shared" si="18"/>
        <v>0</v>
      </c>
      <c r="AE37" s="24">
        <f t="shared" si="29"/>
        <v>81.96405750000001</v>
      </c>
    </row>
    <row r="38" spans="1:31" x14ac:dyDescent="0.3">
      <c r="A38" s="5" t="s">
        <v>70</v>
      </c>
      <c r="B38" s="25">
        <v>495</v>
      </c>
      <c r="C38" s="24">
        <v>4</v>
      </c>
      <c r="D38" s="24">
        <v>179</v>
      </c>
      <c r="E38" s="24">
        <v>341</v>
      </c>
      <c r="F38" s="24">
        <v>217</v>
      </c>
      <c r="G38" s="24">
        <v>343</v>
      </c>
      <c r="H38" s="24">
        <v>288</v>
      </c>
      <c r="I38" s="24">
        <v>16</v>
      </c>
      <c r="J38" s="24">
        <v>1430</v>
      </c>
      <c r="K38" s="25">
        <f t="shared" si="3"/>
        <v>2818</v>
      </c>
      <c r="L38" s="25">
        <f t="shared" si="4"/>
        <v>234.57599999999996</v>
      </c>
      <c r="M38" s="25">
        <f t="shared" si="5"/>
        <v>16432.199999999997</v>
      </c>
      <c r="N38" s="25">
        <f t="shared" si="6"/>
        <v>4950.6039000000001</v>
      </c>
      <c r="O38" s="25">
        <f t="shared" si="30"/>
        <v>7749</v>
      </c>
      <c r="P38" s="24">
        <f t="shared" si="8"/>
        <v>29366.3799</v>
      </c>
      <c r="Q38" s="24">
        <f t="shared" si="0"/>
        <v>0</v>
      </c>
      <c r="R38" s="24">
        <f t="shared" si="1"/>
        <v>266.26249999999999</v>
      </c>
      <c r="S38" s="24">
        <v>0</v>
      </c>
      <c r="T38" s="24">
        <f t="shared" si="2"/>
        <v>81.605999999999995</v>
      </c>
      <c r="U38" s="24">
        <f t="shared" si="31"/>
        <v>347.86849999999998</v>
      </c>
      <c r="V38" s="24">
        <f t="shared" si="10"/>
        <v>36.652499999999996</v>
      </c>
      <c r="W38" s="24">
        <f t="shared" si="11"/>
        <v>1540.51875</v>
      </c>
      <c r="X38" s="24">
        <f t="shared" si="12"/>
        <v>3341.6576325000001</v>
      </c>
      <c r="Y38" s="24">
        <f t="shared" si="13"/>
        <v>0</v>
      </c>
      <c r="Z38" s="24">
        <f t="shared" si="28"/>
        <v>4918.8288825</v>
      </c>
      <c r="AA38" s="24">
        <f t="shared" si="15"/>
        <v>1.4661</v>
      </c>
      <c r="AB38" s="24">
        <f t="shared" si="16"/>
        <v>85.584375000000009</v>
      </c>
      <c r="AC38" s="24">
        <f t="shared" si="17"/>
        <v>123.7650975</v>
      </c>
      <c r="AD38" s="24">
        <f t="shared" si="18"/>
        <v>0</v>
      </c>
      <c r="AE38" s="24">
        <f t="shared" si="29"/>
        <v>210.8155725</v>
      </c>
    </row>
    <row r="39" spans="1:31" x14ac:dyDescent="0.3">
      <c r="A39" s="5" t="s">
        <v>71</v>
      </c>
      <c r="B39" s="25">
        <v>255</v>
      </c>
      <c r="C39" s="24">
        <v>3</v>
      </c>
      <c r="D39" s="24">
        <v>38</v>
      </c>
      <c r="E39" s="24">
        <v>52</v>
      </c>
      <c r="F39" s="24">
        <v>123</v>
      </c>
      <c r="G39" s="24">
        <v>184</v>
      </c>
      <c r="H39" s="24">
        <v>462</v>
      </c>
      <c r="I39" s="24">
        <v>12</v>
      </c>
      <c r="J39" s="24">
        <v>2542</v>
      </c>
      <c r="K39" s="25">
        <f t="shared" si="3"/>
        <v>3416</v>
      </c>
      <c r="L39" s="25">
        <f t="shared" si="4"/>
        <v>175.93199999999999</v>
      </c>
      <c r="M39" s="25">
        <f t="shared" si="5"/>
        <v>3488.3999999999996</v>
      </c>
      <c r="N39" s="25">
        <f t="shared" si="6"/>
        <v>754.93079999999998</v>
      </c>
      <c r="O39" s="25">
        <f t="shared" si="30"/>
        <v>10377.899999999998</v>
      </c>
      <c r="P39" s="24">
        <f t="shared" si="8"/>
        <v>14797.162799999998</v>
      </c>
      <c r="Q39" s="24">
        <f t="shared" si="0"/>
        <v>0</v>
      </c>
      <c r="R39" s="24">
        <f t="shared" si="1"/>
        <v>56.524999999999999</v>
      </c>
      <c r="S39" s="24">
        <v>0</v>
      </c>
      <c r="T39" s="24">
        <f t="shared" si="2"/>
        <v>76.83899999999997</v>
      </c>
      <c r="U39" s="24">
        <f t="shared" si="31"/>
        <v>133.36399999999998</v>
      </c>
      <c r="V39" s="24">
        <f t="shared" si="10"/>
        <v>27.489374999999999</v>
      </c>
      <c r="W39" s="24">
        <f t="shared" si="11"/>
        <v>327.03749999999997</v>
      </c>
      <c r="X39" s="24">
        <f t="shared" si="12"/>
        <v>509.57828999999998</v>
      </c>
      <c r="Y39" s="24">
        <f t="shared" si="13"/>
        <v>0</v>
      </c>
      <c r="Z39" s="24">
        <f t="shared" si="28"/>
        <v>864.10516499999994</v>
      </c>
      <c r="AA39" s="24">
        <f t="shared" si="15"/>
        <v>1.099575</v>
      </c>
      <c r="AB39" s="24">
        <f t="shared" si="16"/>
        <v>18.168749999999999</v>
      </c>
      <c r="AC39" s="24">
        <f t="shared" si="17"/>
        <v>18.873269999999998</v>
      </c>
      <c r="AD39" s="24">
        <f t="shared" si="18"/>
        <v>0</v>
      </c>
      <c r="AE39" s="24">
        <f t="shared" si="29"/>
        <v>38.141594999999995</v>
      </c>
    </row>
    <row r="40" spans="1:31" x14ac:dyDescent="0.3">
      <c r="A40" s="5" t="s">
        <v>72</v>
      </c>
      <c r="B40" s="25">
        <v>149</v>
      </c>
      <c r="C40" s="24">
        <v>0</v>
      </c>
      <c r="D40" s="24">
        <v>0</v>
      </c>
      <c r="E40" s="24">
        <v>1</v>
      </c>
      <c r="F40" s="24"/>
      <c r="G40" s="24"/>
      <c r="H40" s="24"/>
      <c r="I40" s="24">
        <v>33</v>
      </c>
      <c r="J40" s="24">
        <v>752</v>
      </c>
      <c r="K40" s="25">
        <f t="shared" si="3"/>
        <v>786</v>
      </c>
      <c r="L40" s="25">
        <f t="shared" si="4"/>
        <v>0</v>
      </c>
      <c r="M40" s="25">
        <f t="shared" si="5"/>
        <v>0</v>
      </c>
      <c r="N40" s="25">
        <f t="shared" si="6"/>
        <v>14.517899999999999</v>
      </c>
      <c r="O40" s="25">
        <f t="shared" si="30"/>
        <v>2178.9</v>
      </c>
      <c r="P40" s="24">
        <f t="shared" si="8"/>
        <v>2193.4178999999999</v>
      </c>
      <c r="Q40" s="24">
        <f t="shared" si="0"/>
        <v>0</v>
      </c>
      <c r="R40" s="24">
        <f t="shared" si="1"/>
        <v>0</v>
      </c>
      <c r="S40" s="24">
        <v>0</v>
      </c>
      <c r="T40" s="24">
        <f t="shared" si="2"/>
        <v>3.4649999999999999</v>
      </c>
      <c r="U40" s="24">
        <f t="shared" si="31"/>
        <v>3.4649999999999999</v>
      </c>
      <c r="V40" s="24">
        <f t="shared" si="10"/>
        <v>0</v>
      </c>
      <c r="W40" s="24">
        <f t="shared" si="11"/>
        <v>0</v>
      </c>
      <c r="X40" s="24">
        <f t="shared" si="12"/>
        <v>9.7995824999999996</v>
      </c>
      <c r="Y40" s="24">
        <f t="shared" si="13"/>
        <v>0</v>
      </c>
      <c r="Z40" s="24">
        <f t="shared" si="28"/>
        <v>9.7995824999999996</v>
      </c>
      <c r="AA40" s="24">
        <f t="shared" si="15"/>
        <v>0</v>
      </c>
      <c r="AB40" s="24">
        <f t="shared" si="16"/>
        <v>0</v>
      </c>
      <c r="AC40" s="24">
        <f t="shared" si="17"/>
        <v>0.36294749999999998</v>
      </c>
      <c r="AD40" s="24">
        <f t="shared" si="18"/>
        <v>0</v>
      </c>
      <c r="AE40" s="24">
        <f t="shared" si="29"/>
        <v>0.36294749999999998</v>
      </c>
    </row>
    <row r="41" spans="1:31" x14ac:dyDescent="0.3">
      <c r="A41" s="5" t="s">
        <v>73</v>
      </c>
      <c r="B41" s="25">
        <v>298</v>
      </c>
      <c r="C41" s="24">
        <v>15</v>
      </c>
      <c r="D41" s="24">
        <v>62</v>
      </c>
      <c r="E41" s="24">
        <v>483</v>
      </c>
      <c r="F41" s="24">
        <v>97</v>
      </c>
      <c r="G41" s="24">
        <v>228</v>
      </c>
      <c r="H41" s="24">
        <v>288</v>
      </c>
      <c r="I41" s="24">
        <v>28</v>
      </c>
      <c r="J41" s="24">
        <v>2955</v>
      </c>
      <c r="K41" s="25">
        <f t="shared" si="3"/>
        <v>4156</v>
      </c>
      <c r="L41" s="25">
        <f t="shared" si="4"/>
        <v>879.65999999999985</v>
      </c>
      <c r="M41" s="25">
        <f t="shared" si="5"/>
        <v>5691.5999999999995</v>
      </c>
      <c r="N41" s="25">
        <f t="shared" si="6"/>
        <v>7012.1457</v>
      </c>
      <c r="O41" s="25">
        <f t="shared" si="30"/>
        <v>10863</v>
      </c>
      <c r="P41" s="24">
        <f t="shared" si="8"/>
        <v>24446.405699999999</v>
      </c>
      <c r="Q41" s="24">
        <f t="shared" si="0"/>
        <v>0</v>
      </c>
      <c r="R41" s="24">
        <f t="shared" si="1"/>
        <v>92.224999999999994</v>
      </c>
      <c r="S41" s="24">
        <v>0</v>
      </c>
      <c r="T41" s="24">
        <f t="shared" si="2"/>
        <v>63.230999999999995</v>
      </c>
      <c r="U41" s="24">
        <f t="shared" si="31"/>
        <v>155.45599999999999</v>
      </c>
      <c r="V41" s="24">
        <f t="shared" si="10"/>
        <v>137.44687499999998</v>
      </c>
      <c r="W41" s="24">
        <f t="shared" si="11"/>
        <v>533.58749999999998</v>
      </c>
      <c r="X41" s="24">
        <f t="shared" si="12"/>
        <v>4733.1983474999997</v>
      </c>
      <c r="Y41" s="24">
        <f t="shared" si="13"/>
        <v>0</v>
      </c>
      <c r="Z41" s="24">
        <f t="shared" si="28"/>
        <v>5404.2327224999999</v>
      </c>
      <c r="AA41" s="24">
        <f t="shared" si="15"/>
        <v>5.4978749999999996</v>
      </c>
      <c r="AB41" s="24">
        <f t="shared" si="16"/>
        <v>29.643750000000001</v>
      </c>
      <c r="AC41" s="24">
        <f t="shared" si="17"/>
        <v>175.3036425</v>
      </c>
      <c r="AD41" s="24">
        <f t="shared" si="18"/>
        <v>0</v>
      </c>
      <c r="AE41" s="24">
        <f t="shared" si="29"/>
        <v>210.4452675</v>
      </c>
    </row>
    <row r="42" spans="1:31" x14ac:dyDescent="0.3">
      <c r="A42" s="5" t="s">
        <v>74</v>
      </c>
      <c r="B42" s="25">
        <v>113</v>
      </c>
      <c r="C42" s="24">
        <v>12</v>
      </c>
      <c r="D42" s="24">
        <v>9</v>
      </c>
      <c r="E42" s="24">
        <v>167</v>
      </c>
      <c r="F42" s="24">
        <v>56</v>
      </c>
      <c r="G42" s="24">
        <v>97</v>
      </c>
      <c r="H42" s="24">
        <v>50</v>
      </c>
      <c r="I42" s="24">
        <v>5</v>
      </c>
      <c r="J42" s="24">
        <v>910</v>
      </c>
      <c r="K42" s="25">
        <f t="shared" si="3"/>
        <v>1306</v>
      </c>
      <c r="L42" s="25">
        <f t="shared" si="4"/>
        <v>703.72799999999995</v>
      </c>
      <c r="M42" s="25">
        <f t="shared" si="5"/>
        <v>826.19999999999993</v>
      </c>
      <c r="N42" s="25">
        <f t="shared" si="6"/>
        <v>2424.4892999999997</v>
      </c>
      <c r="O42" s="25">
        <f t="shared" si="30"/>
        <v>3392.9999999999995</v>
      </c>
      <c r="P42" s="24">
        <f t="shared" si="8"/>
        <v>7347.4172999999992</v>
      </c>
      <c r="Q42" s="24">
        <f t="shared" si="0"/>
        <v>0</v>
      </c>
      <c r="R42" s="24">
        <f t="shared" si="1"/>
        <v>13.387499999999999</v>
      </c>
      <c r="S42" s="24">
        <v>0</v>
      </c>
      <c r="T42" s="24">
        <f t="shared" si="2"/>
        <v>19.487999999999996</v>
      </c>
      <c r="U42" s="24">
        <f t="shared" si="31"/>
        <v>32.875499999999995</v>
      </c>
      <c r="V42" s="24">
        <f t="shared" si="10"/>
        <v>109.9575</v>
      </c>
      <c r="W42" s="24">
        <f t="shared" si="11"/>
        <v>77.456249999999997</v>
      </c>
      <c r="X42" s="24">
        <f t="shared" si="12"/>
        <v>1636.5302775</v>
      </c>
      <c r="Y42" s="24">
        <f t="shared" si="13"/>
        <v>0</v>
      </c>
      <c r="Z42" s="24">
        <f t="shared" si="28"/>
        <v>1823.9440274999999</v>
      </c>
      <c r="AA42" s="24">
        <f t="shared" si="15"/>
        <v>4.3982999999999999</v>
      </c>
      <c r="AB42" s="24">
        <f t="shared" si="16"/>
        <v>4.3031249999999996</v>
      </c>
      <c r="AC42" s="24">
        <f t="shared" si="17"/>
        <v>60.612232499999998</v>
      </c>
      <c r="AD42" s="24">
        <f t="shared" si="18"/>
        <v>0</v>
      </c>
      <c r="AE42" s="24">
        <f t="shared" si="29"/>
        <v>69.313657500000005</v>
      </c>
    </row>
    <row r="43" spans="1:31" x14ac:dyDescent="0.3">
      <c r="A43" s="5" t="s">
        <v>75</v>
      </c>
      <c r="B43" s="25">
        <v>226</v>
      </c>
      <c r="C43" s="24">
        <v>67</v>
      </c>
      <c r="D43" s="24">
        <v>196</v>
      </c>
      <c r="E43" s="24">
        <v>368</v>
      </c>
      <c r="F43" s="24">
        <v>114</v>
      </c>
      <c r="G43" s="24">
        <v>166</v>
      </c>
      <c r="H43" s="24">
        <v>200</v>
      </c>
      <c r="I43" s="24">
        <v>27</v>
      </c>
      <c r="J43" s="24">
        <v>3413</v>
      </c>
      <c r="K43" s="25">
        <f t="shared" si="3"/>
        <v>4551</v>
      </c>
      <c r="L43" s="25">
        <f t="shared" si="4"/>
        <v>3929.1479999999997</v>
      </c>
      <c r="M43" s="25">
        <f t="shared" si="5"/>
        <v>17992.8</v>
      </c>
      <c r="N43" s="25">
        <f t="shared" si="6"/>
        <v>5342.5871999999999</v>
      </c>
      <c r="O43" s="25">
        <f t="shared" si="30"/>
        <v>11496.599999999999</v>
      </c>
      <c r="P43" s="24">
        <f t="shared" si="8"/>
        <v>38761.135199999997</v>
      </c>
      <c r="Q43" s="24">
        <f t="shared" si="0"/>
        <v>0</v>
      </c>
      <c r="R43" s="24">
        <f t="shared" si="1"/>
        <v>291.55</v>
      </c>
      <c r="S43" s="24">
        <v>0</v>
      </c>
      <c r="T43" s="24">
        <f t="shared" si="2"/>
        <v>48.447000000000003</v>
      </c>
      <c r="U43" s="24">
        <f t="shared" si="31"/>
        <v>339.99700000000001</v>
      </c>
      <c r="V43" s="24">
        <f t="shared" si="10"/>
        <v>613.92937499999994</v>
      </c>
      <c r="W43" s="24">
        <f t="shared" si="11"/>
        <v>1686.825</v>
      </c>
      <c r="X43" s="24">
        <f t="shared" si="12"/>
        <v>3606.2463600000001</v>
      </c>
      <c r="Y43" s="24">
        <f t="shared" si="13"/>
        <v>0</v>
      </c>
      <c r="Z43" s="24">
        <f t="shared" si="28"/>
        <v>5907.0007349999996</v>
      </c>
      <c r="AA43" s="24">
        <f t="shared" si="15"/>
        <v>24.557174999999997</v>
      </c>
      <c r="AB43" s="24">
        <f t="shared" si="16"/>
        <v>93.712500000000006</v>
      </c>
      <c r="AC43" s="24">
        <f t="shared" si="17"/>
        <v>133.56468000000001</v>
      </c>
      <c r="AD43" s="24">
        <f t="shared" si="18"/>
        <v>0</v>
      </c>
      <c r="AE43" s="24">
        <f t="shared" si="29"/>
        <v>251.83435500000002</v>
      </c>
    </row>
    <row r="44" spans="1:31" x14ac:dyDescent="0.3">
      <c r="A44" s="5" t="s">
        <v>76</v>
      </c>
      <c r="B44" s="25">
        <v>1682</v>
      </c>
      <c r="C44" s="24">
        <v>8</v>
      </c>
      <c r="D44" s="24">
        <v>30</v>
      </c>
      <c r="E44" s="24">
        <v>191</v>
      </c>
      <c r="F44" s="24">
        <v>561</v>
      </c>
      <c r="G44" s="24">
        <v>1470</v>
      </c>
      <c r="H44" s="24">
        <v>338</v>
      </c>
      <c r="I44" s="24">
        <v>117</v>
      </c>
      <c r="J44" s="24">
        <v>6819</v>
      </c>
      <c r="K44" s="25">
        <f t="shared" si="3"/>
        <v>9534</v>
      </c>
      <c r="L44" s="25">
        <f t="shared" si="4"/>
        <v>469.15199999999993</v>
      </c>
      <c r="M44" s="25">
        <f t="shared" si="5"/>
        <v>2754</v>
      </c>
      <c r="N44" s="25">
        <f t="shared" si="6"/>
        <v>2772.9188999999997</v>
      </c>
      <c r="O44" s="25">
        <f t="shared" si="30"/>
        <v>29598.299999999996</v>
      </c>
      <c r="P44" s="24">
        <f t="shared" si="8"/>
        <v>35594.370899999994</v>
      </c>
      <c r="Q44" s="24">
        <f t="shared" si="0"/>
        <v>0</v>
      </c>
      <c r="R44" s="24">
        <f t="shared" si="1"/>
        <v>44.625</v>
      </c>
      <c r="S44" s="24">
        <v>0</v>
      </c>
      <c r="T44" s="24">
        <f t="shared" si="2"/>
        <v>237.46800000000002</v>
      </c>
      <c r="U44" s="24">
        <f t="shared" si="31"/>
        <v>282.09300000000002</v>
      </c>
      <c r="V44" s="24">
        <f t="shared" si="10"/>
        <v>73.304999999999993</v>
      </c>
      <c r="W44" s="24">
        <f t="shared" si="11"/>
        <v>258.1875</v>
      </c>
      <c r="X44" s="24">
        <f t="shared" si="12"/>
        <v>1871.7202574999999</v>
      </c>
      <c r="Y44" s="24">
        <f t="shared" si="13"/>
        <v>0</v>
      </c>
      <c r="Z44" s="24">
        <f t="shared" si="28"/>
        <v>2203.2127575</v>
      </c>
      <c r="AA44" s="24">
        <f t="shared" si="15"/>
        <v>2.9321999999999999</v>
      </c>
      <c r="AB44" s="24">
        <f t="shared" si="16"/>
        <v>14.34375</v>
      </c>
      <c r="AC44" s="24">
        <f t="shared" si="17"/>
        <v>69.322972499999992</v>
      </c>
      <c r="AD44" s="24">
        <f t="shared" si="18"/>
        <v>0</v>
      </c>
      <c r="AE44" s="24">
        <f t="shared" si="29"/>
        <v>86.598922499999986</v>
      </c>
    </row>
    <row r="45" spans="1:31" x14ac:dyDescent="0.3">
      <c r="A45" s="5" t="s">
        <v>77</v>
      </c>
      <c r="B45" s="25">
        <v>212</v>
      </c>
      <c r="C45" s="24">
        <v>7</v>
      </c>
      <c r="D45" s="24">
        <v>11</v>
      </c>
      <c r="E45" s="24">
        <v>37</v>
      </c>
      <c r="F45" s="24">
        <v>108</v>
      </c>
      <c r="G45" s="24">
        <v>114</v>
      </c>
      <c r="H45" s="24">
        <v>400</v>
      </c>
      <c r="I45" s="24">
        <v>10</v>
      </c>
      <c r="J45" s="24">
        <v>1524</v>
      </c>
      <c r="K45" s="25">
        <f t="shared" si="3"/>
        <v>2211</v>
      </c>
      <c r="L45" s="25">
        <f t="shared" si="4"/>
        <v>410.50799999999992</v>
      </c>
      <c r="M45" s="25">
        <f t="shared" si="5"/>
        <v>1009.8</v>
      </c>
      <c r="N45" s="25">
        <f t="shared" si="6"/>
        <v>537.16229999999996</v>
      </c>
      <c r="O45" s="25">
        <f t="shared" si="30"/>
        <v>6958.8</v>
      </c>
      <c r="P45" s="24">
        <f t="shared" si="8"/>
        <v>8916.2703000000001</v>
      </c>
      <c r="Q45" s="24">
        <f t="shared" si="0"/>
        <v>0</v>
      </c>
      <c r="R45" s="24">
        <f t="shared" si="1"/>
        <v>16.362500000000001</v>
      </c>
      <c r="S45" s="24">
        <v>0</v>
      </c>
      <c r="T45" s="24">
        <f t="shared" si="2"/>
        <v>61.823999999999984</v>
      </c>
      <c r="U45" s="24">
        <f t="shared" si="31"/>
        <v>78.186499999999981</v>
      </c>
      <c r="V45" s="24">
        <f t="shared" si="10"/>
        <v>64.141874999999999</v>
      </c>
      <c r="W45" s="24">
        <f t="shared" si="11"/>
        <v>94.668750000000003</v>
      </c>
      <c r="X45" s="24">
        <f t="shared" si="12"/>
        <v>362.58455249999997</v>
      </c>
      <c r="Y45" s="24">
        <f t="shared" si="13"/>
        <v>0</v>
      </c>
      <c r="Z45" s="24">
        <f t="shared" si="28"/>
        <v>521.39517750000005</v>
      </c>
      <c r="AA45" s="24">
        <f t="shared" si="15"/>
        <v>2.5656749999999997</v>
      </c>
      <c r="AB45" s="24">
        <f t="shared" si="16"/>
        <v>5.2593750000000004</v>
      </c>
      <c r="AC45" s="24">
        <f t="shared" si="17"/>
        <v>13.429057499999999</v>
      </c>
      <c r="AD45" s="24">
        <f t="shared" si="18"/>
        <v>0</v>
      </c>
      <c r="AE45" s="24">
        <f t="shared" si="29"/>
        <v>21.2541075</v>
      </c>
    </row>
    <row r="46" spans="1:31" x14ac:dyDescent="0.3">
      <c r="A46" s="5" t="s">
        <v>78</v>
      </c>
      <c r="B46" s="25">
        <v>285</v>
      </c>
      <c r="C46" s="24">
        <v>16</v>
      </c>
      <c r="D46" s="24">
        <v>31</v>
      </c>
      <c r="E46" s="24">
        <v>98</v>
      </c>
      <c r="F46" s="24">
        <v>164</v>
      </c>
      <c r="G46" s="24">
        <v>188</v>
      </c>
      <c r="H46" s="24">
        <v>400</v>
      </c>
      <c r="I46" s="24">
        <v>33</v>
      </c>
      <c r="J46" s="24">
        <v>5680</v>
      </c>
      <c r="K46" s="25">
        <f t="shared" si="3"/>
        <v>6610</v>
      </c>
      <c r="L46" s="25">
        <f t="shared" si="4"/>
        <v>938.30399999999986</v>
      </c>
      <c r="M46" s="25">
        <f t="shared" si="5"/>
        <v>2845.7999999999997</v>
      </c>
      <c r="N46" s="25">
        <f t="shared" si="6"/>
        <v>1422.7541999999999</v>
      </c>
      <c r="O46" s="25">
        <f t="shared" si="30"/>
        <v>18868.499999999996</v>
      </c>
      <c r="P46" s="24">
        <f t="shared" si="8"/>
        <v>24075.358199999995</v>
      </c>
      <c r="Q46" s="24">
        <f t="shared" si="0"/>
        <v>0</v>
      </c>
      <c r="R46" s="24">
        <f t="shared" si="1"/>
        <v>46.112499999999997</v>
      </c>
      <c r="S46" s="24">
        <v>0</v>
      </c>
      <c r="T46" s="24">
        <f t="shared" si="2"/>
        <v>75.536999999999992</v>
      </c>
      <c r="U46" s="24">
        <f t="shared" si="31"/>
        <v>121.64949999999999</v>
      </c>
      <c r="V46" s="24">
        <f t="shared" si="10"/>
        <v>146.60999999999999</v>
      </c>
      <c r="W46" s="24">
        <f t="shared" si="11"/>
        <v>266.79374999999999</v>
      </c>
      <c r="X46" s="24">
        <f t="shared" si="12"/>
        <v>960.35908499999994</v>
      </c>
      <c r="Y46" s="24">
        <f t="shared" si="13"/>
        <v>0</v>
      </c>
      <c r="Z46" s="24">
        <f t="shared" si="28"/>
        <v>1373.762835</v>
      </c>
      <c r="AA46" s="24">
        <f t="shared" si="15"/>
        <v>5.8643999999999998</v>
      </c>
      <c r="AB46" s="24">
        <f t="shared" si="16"/>
        <v>14.821875</v>
      </c>
      <c r="AC46" s="24">
        <f t="shared" si="17"/>
        <v>35.568854999999999</v>
      </c>
      <c r="AD46" s="24">
        <f t="shared" si="18"/>
        <v>0</v>
      </c>
      <c r="AE46" s="24">
        <f t="shared" si="29"/>
        <v>56.255130000000001</v>
      </c>
    </row>
    <row r="47" spans="1:31" x14ac:dyDescent="0.3">
      <c r="A47" s="5" t="s">
        <v>79</v>
      </c>
      <c r="B47" s="25">
        <v>189</v>
      </c>
      <c r="C47" s="24">
        <v>2</v>
      </c>
      <c r="D47" s="24">
        <v>2</v>
      </c>
      <c r="E47" s="24">
        <v>5</v>
      </c>
      <c r="F47" s="24">
        <v>38</v>
      </c>
      <c r="G47" s="24">
        <v>55</v>
      </c>
      <c r="H47" s="24">
        <v>50</v>
      </c>
      <c r="I47" s="24">
        <v>8</v>
      </c>
      <c r="J47" s="24">
        <v>576</v>
      </c>
      <c r="K47" s="25">
        <f t="shared" si="3"/>
        <v>736</v>
      </c>
      <c r="L47" s="25">
        <f t="shared" si="4"/>
        <v>117.28799999999998</v>
      </c>
      <c r="M47" s="25">
        <f t="shared" si="5"/>
        <v>183.6</v>
      </c>
      <c r="N47" s="25">
        <f t="shared" si="6"/>
        <v>72.589500000000001</v>
      </c>
      <c r="O47" s="25">
        <f t="shared" si="30"/>
        <v>2234.6999999999998</v>
      </c>
      <c r="P47" s="24">
        <f t="shared" si="8"/>
        <v>2608.1774999999998</v>
      </c>
      <c r="Q47" s="24">
        <f t="shared" si="0"/>
        <v>0</v>
      </c>
      <c r="R47" s="24">
        <f t="shared" si="1"/>
        <v>2.9749999999999996</v>
      </c>
      <c r="S47" s="24">
        <v>0</v>
      </c>
      <c r="T47" s="24">
        <f t="shared" si="2"/>
        <v>14.258999999999999</v>
      </c>
      <c r="U47" s="24">
        <f t="shared" si="31"/>
        <v>17.233999999999998</v>
      </c>
      <c r="V47" s="24">
        <f t="shared" si="10"/>
        <v>18.326249999999998</v>
      </c>
      <c r="W47" s="24">
        <f t="shared" si="11"/>
        <v>17.212499999999999</v>
      </c>
      <c r="X47" s="24">
        <f t="shared" si="12"/>
        <v>48.997912499999998</v>
      </c>
      <c r="Y47" s="24">
        <f t="shared" si="13"/>
        <v>0</v>
      </c>
      <c r="Z47" s="24">
        <f t="shared" si="28"/>
        <v>84.536662499999991</v>
      </c>
      <c r="AA47" s="24">
        <f t="shared" si="15"/>
        <v>0.73304999999999998</v>
      </c>
      <c r="AB47" s="24">
        <f t="shared" si="16"/>
        <v>0.95625000000000004</v>
      </c>
      <c r="AC47" s="24">
        <f t="shared" si="17"/>
        <v>1.8147374999999999</v>
      </c>
      <c r="AD47" s="24">
        <f t="shared" si="18"/>
        <v>0</v>
      </c>
      <c r="AE47" s="24">
        <f t="shared" si="29"/>
        <v>3.5040374999999999</v>
      </c>
    </row>
    <row r="48" spans="1:31" x14ac:dyDescent="0.3">
      <c r="A48" s="5" t="s">
        <v>80</v>
      </c>
      <c r="B48" s="25">
        <v>54</v>
      </c>
      <c r="C48" s="24">
        <v>0</v>
      </c>
      <c r="D48" s="24">
        <v>19</v>
      </c>
      <c r="E48" s="24">
        <v>2</v>
      </c>
      <c r="F48" s="24">
        <v>12</v>
      </c>
      <c r="G48" s="24">
        <v>0</v>
      </c>
      <c r="H48" s="24">
        <v>1100</v>
      </c>
      <c r="I48" s="24">
        <v>120</v>
      </c>
      <c r="J48" s="24">
        <v>5361</v>
      </c>
      <c r="K48" s="25">
        <f t="shared" si="3"/>
        <v>6614</v>
      </c>
      <c r="L48" s="25">
        <f t="shared" si="4"/>
        <v>0</v>
      </c>
      <c r="M48" s="25">
        <f t="shared" si="5"/>
        <v>1744.1999999999998</v>
      </c>
      <c r="N48" s="25">
        <f t="shared" si="6"/>
        <v>29.035799999999998</v>
      </c>
      <c r="O48" s="25">
        <f t="shared" si="30"/>
        <v>20018.7</v>
      </c>
      <c r="P48" s="24">
        <f>($C48*$C$3*$C$4)+($D48*$D$3*$D$4)+($E48*$E$3*$E$4)+($F48*$F$3*$F$4)+($G48*$G$3*$G$4)+($H48*$H$3*$H$4)+($I48*$I$3*$I$4)+($J48*$J$3*$J$4)</f>
        <v>21791.935799999999</v>
      </c>
      <c r="Q48" s="24">
        <f t="shared" si="0"/>
        <v>0</v>
      </c>
      <c r="R48" s="24">
        <f t="shared" si="1"/>
        <v>28.262499999999999</v>
      </c>
      <c r="S48" s="24">
        <v>0</v>
      </c>
      <c r="T48" s="24">
        <f t="shared" si="2"/>
        <v>128.85599999999999</v>
      </c>
      <c r="U48" s="24">
        <f t="shared" si="31"/>
        <v>157.11849999999998</v>
      </c>
      <c r="V48" s="24">
        <f t="shared" si="10"/>
        <v>0</v>
      </c>
      <c r="W48" s="24">
        <f t="shared" si="11"/>
        <v>163.51874999999998</v>
      </c>
      <c r="X48" s="24">
        <f t="shared" si="12"/>
        <v>19.599164999999999</v>
      </c>
      <c r="Y48" s="24">
        <f t="shared" si="13"/>
        <v>0</v>
      </c>
      <c r="Z48" s="24">
        <f>(($C48*$C$7*$C$8)+($D48*$D$7*$D$8)+($E48*$E$7*$E$8)+($F48*$F$7*$F$8)+($G48*$G$7*$G$8)+($H48*$H$7*$H$8)+($I48*$I$7*$I$8)+($J48*$J$7*$J$8))</f>
        <v>183.11791499999998</v>
      </c>
      <c r="AA48" s="24">
        <f t="shared" si="15"/>
        <v>0</v>
      </c>
      <c r="AB48" s="24">
        <f t="shared" si="16"/>
        <v>9.0843749999999996</v>
      </c>
      <c r="AC48" s="24">
        <f t="shared" si="17"/>
        <v>0.72589499999999996</v>
      </c>
      <c r="AD48" s="24">
        <f t="shared" si="18"/>
        <v>0</v>
      </c>
      <c r="AE48" s="24">
        <f>(($C48*$C$9*$C$10)+($D48*$D$9*$D$10)+($E48*$E$9*$E$10)+($F48*$F$9*$F$10)+($G48*$G$9*$G$10)+($H48*$H$9*$H$10)+($I48*$I$9*$I$10)+($J48*$J$9*$J$10))</f>
        <v>9.8102699999999992</v>
      </c>
    </row>
    <row r="49" spans="1:31" ht="15" thickBot="1" x14ac:dyDescent="0.35">
      <c r="A49" s="6" t="s">
        <v>81</v>
      </c>
      <c r="B49" s="27">
        <v>73</v>
      </c>
      <c r="C49" s="26">
        <v>0</v>
      </c>
      <c r="D49" s="26">
        <v>4</v>
      </c>
      <c r="E49" s="26">
        <v>17</v>
      </c>
      <c r="F49" s="26">
        <v>40</v>
      </c>
      <c r="G49" s="26">
        <v>54</v>
      </c>
      <c r="H49" s="26">
        <v>50</v>
      </c>
      <c r="I49" s="26">
        <v>9</v>
      </c>
      <c r="J49" s="26">
        <v>1096</v>
      </c>
      <c r="K49" s="27">
        <f t="shared" si="3"/>
        <v>1270</v>
      </c>
      <c r="L49" s="27">
        <f t="shared" si="4"/>
        <v>0</v>
      </c>
      <c r="M49" s="27">
        <f t="shared" si="5"/>
        <v>367.2</v>
      </c>
      <c r="N49" s="27">
        <f t="shared" si="6"/>
        <v>246.80429999999998</v>
      </c>
      <c r="O49" s="27">
        <f t="shared" si="30"/>
        <v>3647.6999999999994</v>
      </c>
      <c r="P49" s="26">
        <f>($C49*$C$3*$C$4)+($D49*$D$3*$D$4)+($E49*$E$3*$E$4)+($F49*$F$3*$F$4)+($G49*$G$3*$G$4)+($H49*$H$3*$H$4)+($I49*$I$3*$I$4)+($J49*$J$3*$J$4)</f>
        <v>4261.7042999999994</v>
      </c>
      <c r="Q49" s="26">
        <f t="shared" si="0"/>
        <v>0</v>
      </c>
      <c r="R49" s="26">
        <f t="shared" si="1"/>
        <v>5.9499999999999993</v>
      </c>
      <c r="S49" s="26">
        <v>0</v>
      </c>
      <c r="T49" s="26">
        <f t="shared" si="2"/>
        <v>14.384999999999998</v>
      </c>
      <c r="U49" s="26">
        <f>($C49*$C$5*$C$6)+($D49*$D$5*$D$6)+($E49*$E$5*$E$6)+($F49*$F$5*$F$6)+($G49*$G$5*$G$6)+($H49*$H$5*$H$6)+($I49*$I$5*$I$6)</f>
        <v>20.334999999999997</v>
      </c>
      <c r="V49" s="26">
        <f t="shared" si="10"/>
        <v>0</v>
      </c>
      <c r="W49" s="26">
        <f t="shared" si="11"/>
        <v>34.424999999999997</v>
      </c>
      <c r="X49" s="26">
        <f t="shared" si="12"/>
        <v>166.59290250000001</v>
      </c>
      <c r="Y49" s="26">
        <f t="shared" si="13"/>
        <v>0</v>
      </c>
      <c r="Z49" s="26">
        <f>(($C49*$C$7*$C$8)+($D49*$D$7*$D$8)+($E49*$E$7*$E$8)+($F49*$F$7*$F$8)+($G49*$G$7*$G$8)+($H49*$H$7*$H$8)+($I49*$I$7*$I$8)+($J49*$J$7*$J$8))</f>
        <v>201.01790249999999</v>
      </c>
      <c r="AA49" s="26">
        <f t="shared" si="15"/>
        <v>0</v>
      </c>
      <c r="AB49" s="26">
        <f t="shared" si="16"/>
        <v>1.9125000000000001</v>
      </c>
      <c r="AC49" s="26">
        <f t="shared" si="17"/>
        <v>6.1701074999999994</v>
      </c>
      <c r="AD49" s="26">
        <f t="shared" si="18"/>
        <v>0</v>
      </c>
      <c r="AE49" s="26">
        <f>(($C49*$C$9*$C$10)+($D49*$D$9*$D$10)+($E49*$E$9*$E$10)+($F49*$F$9*$F$10)+($G49*$G$9*$G$10)+($H49*$H$9*$H$10)+($I49*$I$9*$I$10)+($J49*$J$9*$J$10))</f>
        <v>8.0826074999999999</v>
      </c>
    </row>
    <row r="50" spans="1:31" x14ac:dyDescent="0.3">
      <c r="B50" s="29" t="s">
        <v>100</v>
      </c>
      <c r="C50" s="139">
        <f t="shared" ref="C50" si="32">SUM(C14:C49)</f>
        <v>910</v>
      </c>
      <c r="D50" s="139">
        <f t="shared" ref="D50" si="33">SUM(D14:D49)</f>
        <v>6896</v>
      </c>
      <c r="E50" s="139">
        <f t="shared" ref="E50" si="34">SUM(E14:E49)</f>
        <v>12894</v>
      </c>
      <c r="F50" s="139">
        <f t="shared" ref="F50" si="35">SUM(F14:F49)</f>
        <v>4502</v>
      </c>
      <c r="G50" s="139">
        <f t="shared" ref="G50" si="36">SUM(G14:G49)</f>
        <v>8044</v>
      </c>
      <c r="H50" s="139">
        <f t="shared" ref="H50" si="37">SUM(H14:H49)</f>
        <v>8512</v>
      </c>
      <c r="I50" s="139">
        <f t="shared" ref="I50" si="38">SUM(I14:I49)</f>
        <v>734</v>
      </c>
      <c r="J50" s="139">
        <f t="shared" ref="J50" si="39">SUM(J14:J49)</f>
        <v>181834</v>
      </c>
      <c r="K50" s="138"/>
      <c r="L50" s="139">
        <f t="shared" ref="L50" si="40">SUM(L14:L49)</f>
        <v>53366.04</v>
      </c>
      <c r="M50" s="139">
        <f t="shared" ref="M50" si="41">SUM(M14:M49)</f>
        <v>633052.79999999993</v>
      </c>
      <c r="N50" s="139">
        <f t="shared" ref="N50" si="42">SUM(N14:N49)</f>
        <v>187193.80259999994</v>
      </c>
      <c r="O50" s="139">
        <f t="shared" ref="O50:P50" si="43">SUM(O14:O49)</f>
        <v>589015.79999999993</v>
      </c>
      <c r="P50" s="140">
        <f t="shared" si="43"/>
        <v>1462628.4426000002</v>
      </c>
      <c r="Q50" s="139">
        <f t="shared" ref="Q50" si="44">SUM(Q14:Q49)</f>
        <v>0</v>
      </c>
      <c r="R50" s="139">
        <f t="shared" ref="R50" si="45">SUM(R14:R49)</f>
        <v>10257.800000000001</v>
      </c>
      <c r="S50" s="139">
        <f t="shared" ref="S50" si="46">SUM(S14:S49)</f>
        <v>0</v>
      </c>
      <c r="T50" s="139">
        <f t="shared" ref="T50" si="47">SUM(T14:T49)</f>
        <v>2099.076</v>
      </c>
      <c r="U50" s="140">
        <f t="shared" ref="U50" si="48">SUM(U14:U49)</f>
        <v>12356.875999999998</v>
      </c>
      <c r="V50" s="139">
        <f t="shared" ref="V50" si="49">SUM(V14:V49)</f>
        <v>6395.8612500000008</v>
      </c>
      <c r="W50" s="139">
        <f t="shared" ref="W50" si="50">SUM(W14:W49)</f>
        <v>30104.662499999995</v>
      </c>
      <c r="X50" s="139">
        <f t="shared" ref="X50" si="51">SUM(X14:X49)</f>
        <v>100484.91895500003</v>
      </c>
      <c r="Y50" s="139">
        <f t="shared" ref="Y50" si="52">SUM(Y14:Y49)</f>
        <v>0</v>
      </c>
      <c r="Z50" s="140">
        <f t="shared" ref="Z50" si="53">SUM(Z14:Z49)</f>
        <v>136985.44270500002</v>
      </c>
      <c r="AA50" s="139">
        <f t="shared" ref="AA50" si="54">SUM(AA14:AA49)</f>
        <v>255.83444999999995</v>
      </c>
      <c r="AB50" s="139">
        <f t="shared" ref="AB50" si="55">SUM(AB14:AB49)</f>
        <v>1672.48125</v>
      </c>
      <c r="AC50" s="139">
        <f t="shared" ref="AC50" si="56">SUM(AC14:AC49)</f>
        <v>3721.6636649999996</v>
      </c>
      <c r="AD50" s="139">
        <f t="shared" ref="AD50:AE50" si="57">SUM(AD14:AD49)</f>
        <v>0</v>
      </c>
      <c r="AE50" s="140">
        <f t="shared" si="57"/>
        <v>5649.9793650000001</v>
      </c>
    </row>
    <row r="51" spans="1:31" x14ac:dyDescent="0.3">
      <c r="B51" s="29"/>
      <c r="C51" s="137"/>
      <c r="D51" s="137"/>
      <c r="E51" s="137"/>
      <c r="F51" s="137"/>
      <c r="G51" s="137"/>
      <c r="H51" s="137"/>
      <c r="I51" s="137"/>
      <c r="J51" s="137"/>
      <c r="K51" s="137"/>
      <c r="L51" s="141">
        <f>L50/$P50</f>
        <v>3.6486395618791169E-2</v>
      </c>
      <c r="M51" s="141">
        <f t="shared" ref="M51:O51" si="58">M50/$P50</f>
        <v>0.43281860352357943</v>
      </c>
      <c r="N51" s="141">
        <f t="shared" si="58"/>
        <v>0.12798452234884763</v>
      </c>
      <c r="O51" s="141">
        <f t="shared" si="58"/>
        <v>0.4027104785087815</v>
      </c>
      <c r="Q51" s="141">
        <f>Q50/$U50</f>
        <v>0</v>
      </c>
      <c r="R51" s="141">
        <f t="shared" ref="R51:T51" si="59">R50/$U50</f>
        <v>0.83012890960466079</v>
      </c>
      <c r="S51" s="141">
        <f t="shared" si="59"/>
        <v>0</v>
      </c>
      <c r="T51" s="141">
        <f t="shared" si="59"/>
        <v>0.16987109039533943</v>
      </c>
      <c r="V51" s="141">
        <f>V50/$Z50</f>
        <v>4.6690079790256057E-2</v>
      </c>
      <c r="W51" s="141">
        <f t="shared" ref="W51:Y51" si="60">W50/$Z50</f>
        <v>0.21976541379532413</v>
      </c>
      <c r="X51" s="141">
        <f t="shared" si="60"/>
        <v>0.73354450641441982</v>
      </c>
      <c r="Y51" s="141">
        <f t="shared" si="60"/>
        <v>0</v>
      </c>
      <c r="AA51" s="141">
        <f>AA50/$AE50</f>
        <v>4.5280599002683247E-2</v>
      </c>
      <c r="AB51" s="141">
        <f t="shared" ref="AB51:AD51" si="61">AB50/$AE50</f>
        <v>0.29601546164230991</v>
      </c>
      <c r="AC51" s="141">
        <f t="shared" si="61"/>
        <v>0.65870393935500671</v>
      </c>
      <c r="AD51" s="141">
        <f t="shared" si="61"/>
        <v>0</v>
      </c>
    </row>
    <row r="52" spans="1:31" x14ac:dyDescent="0.3">
      <c r="B52" s="29"/>
      <c r="C52" s="137"/>
      <c r="D52" s="137"/>
      <c r="E52" s="137"/>
      <c r="F52" s="137"/>
      <c r="G52" s="137"/>
      <c r="H52" s="137"/>
      <c r="I52" s="137"/>
      <c r="J52" s="137"/>
      <c r="K52" s="137"/>
      <c r="L52" s="141"/>
      <c r="M52" s="141"/>
      <c r="N52" s="141"/>
      <c r="O52" s="141"/>
      <c r="Q52" s="141"/>
    </row>
    <row r="53" spans="1:31" x14ac:dyDescent="0.3">
      <c r="H53" t="s">
        <v>188</v>
      </c>
      <c r="I53">
        <v>6</v>
      </c>
      <c r="J53" s="45" t="s">
        <v>152</v>
      </c>
      <c r="P53" s="44">
        <f>SUM(P14:P18)*$I53</f>
        <v>4051051.7039999999</v>
      </c>
      <c r="Q53" s="44"/>
      <c r="R53" s="44"/>
      <c r="S53" s="44"/>
      <c r="T53" s="44"/>
      <c r="U53" s="44">
        <f>SUM(U14:U18)*$I53</f>
        <v>30327.149999999998</v>
      </c>
      <c r="V53" s="44"/>
      <c r="W53" s="44"/>
      <c r="X53" s="44"/>
      <c r="Y53" s="44"/>
      <c r="Z53" s="44">
        <f>SUM(Z14:Z18)*$I53</f>
        <v>0</v>
      </c>
      <c r="AA53" s="44"/>
      <c r="AB53" s="44"/>
      <c r="AC53" s="44"/>
      <c r="AD53" s="44"/>
      <c r="AE53" s="44">
        <f>SUM(AE14:AE18)*$I53</f>
        <v>0</v>
      </c>
    </row>
    <row r="54" spans="1:31" ht="28.8" x14ac:dyDescent="0.3">
      <c r="H54" t="s">
        <v>188</v>
      </c>
      <c r="I54">
        <v>6</v>
      </c>
      <c r="J54" s="45" t="s">
        <v>149</v>
      </c>
      <c r="P54" s="44">
        <f>SUM(P19:P23)*$I54</f>
        <v>2088341.7569999998</v>
      </c>
      <c r="Q54" s="44"/>
      <c r="R54" s="44"/>
      <c r="S54" s="44"/>
      <c r="T54" s="44"/>
      <c r="U54" s="44">
        <f>SUM(U19:U23)*$I54</f>
        <v>21509.25</v>
      </c>
      <c r="V54" s="44"/>
      <c r="W54" s="44"/>
      <c r="X54" s="44"/>
      <c r="Y54" s="44"/>
      <c r="Z54" s="44">
        <f>SUM(Z19:Z23)*$I54</f>
        <v>571622.44117499993</v>
      </c>
      <c r="AA54" s="44"/>
      <c r="AB54" s="44"/>
      <c r="AC54" s="44"/>
      <c r="AD54" s="44"/>
      <c r="AE54" s="44">
        <f>SUM(AE19:AE23)*$I54</f>
        <v>23535.059625000002</v>
      </c>
    </row>
    <row r="55" spans="1:31" x14ac:dyDescent="0.3">
      <c r="H55" t="s">
        <v>188</v>
      </c>
      <c r="I55">
        <v>6</v>
      </c>
      <c r="J55" s="45" t="s">
        <v>142</v>
      </c>
      <c r="P55" s="44">
        <f>SUM(P24:P29)*$I55</f>
        <v>325364.03999999992</v>
      </c>
      <c r="Q55" s="44"/>
      <c r="R55" s="44"/>
      <c r="S55" s="44"/>
      <c r="T55" s="44"/>
      <c r="U55" s="44">
        <f>SUM(U24:U29)*$I55</f>
        <v>3570</v>
      </c>
      <c r="V55" s="44"/>
      <c r="W55" s="44"/>
      <c r="X55" s="44"/>
      <c r="Y55" s="44"/>
      <c r="Z55" s="44">
        <f>SUM(Z24:Z29)*$I55</f>
        <v>64180.309500000003</v>
      </c>
      <c r="AA55" s="44"/>
      <c r="AB55" s="44"/>
      <c r="AC55" s="44"/>
      <c r="AD55" s="44"/>
      <c r="AE55" s="44">
        <f>SUM(AE24:AE29)*$I55</f>
        <v>2783.9835000000003</v>
      </c>
    </row>
    <row r="56" spans="1:31" x14ac:dyDescent="0.3">
      <c r="H56" t="s">
        <v>188</v>
      </c>
      <c r="I56">
        <v>6</v>
      </c>
      <c r="J56" s="45" t="s">
        <v>150</v>
      </c>
      <c r="P56" s="44">
        <f>SUM(P30:P49)*$I56</f>
        <v>2311013.1545999991</v>
      </c>
      <c r="Q56" s="44"/>
      <c r="R56" s="44"/>
      <c r="S56" s="44"/>
      <c r="T56" s="44"/>
      <c r="U56" s="44">
        <f>SUM(U30:U49)*$I56</f>
        <v>18734.856</v>
      </c>
      <c r="V56" s="44"/>
      <c r="W56" s="44"/>
      <c r="X56" s="44"/>
      <c r="Y56" s="44"/>
      <c r="Z56" s="44">
        <f>SUM(Z30:Z49)*$I56</f>
        <v>186109.905555</v>
      </c>
      <c r="AA56" s="44"/>
      <c r="AB56" s="44"/>
      <c r="AC56" s="44"/>
      <c r="AD56" s="44"/>
      <c r="AE56" s="44">
        <f>SUM(AE30:AE49)*$I56</f>
        <v>7580.8330650000007</v>
      </c>
    </row>
    <row r="58" spans="1:31" x14ac:dyDescent="0.3">
      <c r="J58" s="45" t="s">
        <v>90</v>
      </c>
      <c r="P58" s="46">
        <f>SUM(P53:P56)</f>
        <v>8775770.6555999983</v>
      </c>
      <c r="Q58" s="46"/>
      <c r="R58" s="46"/>
      <c r="S58" s="46"/>
      <c r="T58" s="46"/>
      <c r="U58" s="46">
        <f t="shared" ref="U58:Z58" si="62">SUM(U53:U56)</f>
        <v>74141.255999999994</v>
      </c>
      <c r="V58" s="46"/>
      <c r="W58" s="46"/>
      <c r="X58" s="46"/>
      <c r="Y58" s="46"/>
      <c r="Z58" s="46">
        <f t="shared" si="62"/>
        <v>821912.65622999985</v>
      </c>
      <c r="AA58" s="46"/>
      <c r="AB58" s="46"/>
      <c r="AC58" s="46"/>
      <c r="AD58" s="46"/>
      <c r="AE58" s="46">
        <f>SUM(AE53:AE56)</f>
        <v>33899.876190000003</v>
      </c>
    </row>
    <row r="59" spans="1:31" x14ac:dyDescent="0.3">
      <c r="U59" s="52">
        <f>U58/$P58</f>
        <v>8.4484040102721855E-3</v>
      </c>
      <c r="V59" s="52"/>
      <c r="W59" s="52"/>
      <c r="X59" s="52"/>
      <c r="Y59" s="52"/>
      <c r="Z59" s="52">
        <f>Z58/$P58</f>
        <v>9.3657034633821093E-2</v>
      </c>
      <c r="AA59" s="52"/>
      <c r="AB59" s="52"/>
      <c r="AC59" s="52"/>
      <c r="AD59" s="52"/>
      <c r="AE59" s="52">
        <f>AE58/$P58</f>
        <v>3.8628944989996749E-3</v>
      </c>
    </row>
  </sheetData>
  <mergeCells count="35">
    <mergeCell ref="AA12:AA13"/>
    <mergeCell ref="AB12:AB13"/>
    <mergeCell ref="AC12:AC13"/>
    <mergeCell ref="AD12:AD13"/>
    <mergeCell ref="AE12:AE13"/>
    <mergeCell ref="A3:A4"/>
    <mergeCell ref="A5:A6"/>
    <mergeCell ref="A7:A8"/>
    <mergeCell ref="A9:A10"/>
    <mergeCell ref="U12:U13"/>
    <mergeCell ref="L12:L13"/>
    <mergeCell ref="M12:M13"/>
    <mergeCell ref="N12:N13"/>
    <mergeCell ref="O12:O13"/>
    <mergeCell ref="Q12:Q13"/>
    <mergeCell ref="R12:R13"/>
    <mergeCell ref="S12:S13"/>
    <mergeCell ref="T12:T13"/>
    <mergeCell ref="H12:H13"/>
    <mergeCell ref="I12:I13"/>
    <mergeCell ref="J12:J13"/>
    <mergeCell ref="Z12:Z13"/>
    <mergeCell ref="A12:A13"/>
    <mergeCell ref="B12:B13"/>
    <mergeCell ref="C12:C13"/>
    <mergeCell ref="D12:D13"/>
    <mergeCell ref="E12:E13"/>
    <mergeCell ref="G12:G13"/>
    <mergeCell ref="F12:F13"/>
    <mergeCell ref="W12:W13"/>
    <mergeCell ref="X12:X13"/>
    <mergeCell ref="Y12:Y13"/>
    <mergeCell ref="V12:V13"/>
    <mergeCell ref="K12:K13"/>
    <mergeCell ref="P12:P1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5641-D8CD-42BA-8734-6FFE371B8AD1}">
  <sheetPr codeName="Hoja2"/>
  <dimension ref="A24:K39"/>
  <sheetViews>
    <sheetView showGridLines="0" tabSelected="1" topLeftCell="A26" zoomScale="131" zoomScaleNormal="131" workbookViewId="0">
      <selection activeCell="E40" sqref="E40"/>
    </sheetView>
  </sheetViews>
  <sheetFormatPr baseColWidth="10" defaultColWidth="11.44140625" defaultRowHeight="14.4" x14ac:dyDescent="0.3"/>
  <cols>
    <col min="2" max="2" width="27.21875" customWidth="1"/>
  </cols>
  <sheetData>
    <row r="24" spans="1:11" x14ac:dyDescent="0.3">
      <c r="B24" s="29" t="s">
        <v>189</v>
      </c>
    </row>
    <row r="27" spans="1:11" x14ac:dyDescent="0.3">
      <c r="B27" s="176" t="s">
        <v>190</v>
      </c>
      <c r="C27" s="172" t="s">
        <v>98</v>
      </c>
      <c r="D27" s="172" t="s">
        <v>99</v>
      </c>
      <c r="E27" s="172" t="s">
        <v>97</v>
      </c>
      <c r="F27" s="174" t="s">
        <v>178</v>
      </c>
      <c r="G27" s="174" t="s">
        <v>179</v>
      </c>
      <c r="H27" s="172" t="s">
        <v>191</v>
      </c>
      <c r="I27" s="172" t="s">
        <v>181</v>
      </c>
      <c r="J27" s="174" t="s">
        <v>182</v>
      </c>
    </row>
    <row r="28" spans="1:11" x14ac:dyDescent="0.3">
      <c r="B28" s="177"/>
      <c r="C28" s="173"/>
      <c r="D28" s="173"/>
      <c r="E28" s="173"/>
      <c r="F28" s="175"/>
      <c r="G28" s="175"/>
      <c r="H28" s="173"/>
      <c r="I28" s="173"/>
      <c r="J28" s="175"/>
    </row>
    <row r="29" spans="1:11" ht="18" x14ac:dyDescent="0.3">
      <c r="A29" s="171" t="s">
        <v>192</v>
      </c>
      <c r="B29" s="30" t="s">
        <v>193</v>
      </c>
      <c r="C29" s="130">
        <v>0.75</v>
      </c>
      <c r="D29" s="130">
        <f>C29</f>
        <v>0.75</v>
      </c>
      <c r="E29" s="130">
        <f>C29</f>
        <v>0.75</v>
      </c>
      <c r="F29" s="130">
        <v>0.75</v>
      </c>
      <c r="G29" s="130">
        <v>0.75</v>
      </c>
      <c r="H29" s="130">
        <v>0.75</v>
      </c>
      <c r="I29" s="130">
        <v>0.75</v>
      </c>
      <c r="J29" s="130">
        <v>0.75</v>
      </c>
      <c r="K29" t="s">
        <v>194</v>
      </c>
    </row>
    <row r="30" spans="1:11" ht="18" x14ac:dyDescent="0.3">
      <c r="A30" s="171"/>
      <c r="B30" s="30" t="s">
        <v>195</v>
      </c>
      <c r="C30" s="32">
        <v>0.72399999999999998</v>
      </c>
      <c r="D30" s="32">
        <v>1</v>
      </c>
      <c r="E30" s="33">
        <v>0.56599999999999995</v>
      </c>
      <c r="F30" s="33">
        <v>0.5</v>
      </c>
      <c r="G30" s="33">
        <v>0.5</v>
      </c>
      <c r="H30" s="33">
        <v>0.5</v>
      </c>
      <c r="I30" s="33">
        <v>0.5</v>
      </c>
      <c r="J30" s="33">
        <v>0.5</v>
      </c>
      <c r="K30" t="s">
        <v>196</v>
      </c>
    </row>
    <row r="31" spans="1:11" ht="36" x14ac:dyDescent="0.3">
      <c r="A31" s="171"/>
      <c r="B31" s="30" t="s">
        <v>197</v>
      </c>
      <c r="C31" s="33">
        <v>0.75</v>
      </c>
      <c r="D31" s="33">
        <v>0.85</v>
      </c>
      <c r="E31" s="33">
        <v>0.56999999999999995</v>
      </c>
      <c r="F31" s="33">
        <v>0.5</v>
      </c>
      <c r="G31" s="33">
        <v>0.5</v>
      </c>
      <c r="H31" s="33">
        <v>0.5</v>
      </c>
      <c r="I31" s="33">
        <v>0.5</v>
      </c>
      <c r="J31" s="33">
        <v>0.3</v>
      </c>
      <c r="K31" t="s">
        <v>198</v>
      </c>
    </row>
    <row r="32" spans="1:11" ht="30" customHeight="1" x14ac:dyDescent="0.3">
      <c r="A32" s="171"/>
      <c r="B32" s="31" t="s">
        <v>199</v>
      </c>
      <c r="C32" s="37">
        <f>C29*C30*C31</f>
        <v>0.40724999999999995</v>
      </c>
      <c r="D32" s="37">
        <f t="shared" ref="D32:J32" si="0">D29*D30*D31</f>
        <v>0.63749999999999996</v>
      </c>
      <c r="E32" s="37">
        <f t="shared" si="0"/>
        <v>0.24196499999999999</v>
      </c>
      <c r="F32" s="37">
        <f t="shared" si="0"/>
        <v>0.1875</v>
      </c>
      <c r="G32" s="37">
        <f t="shared" si="0"/>
        <v>0.1875</v>
      </c>
      <c r="H32" s="37">
        <f t="shared" si="0"/>
        <v>0.1875</v>
      </c>
      <c r="I32" s="37">
        <f t="shared" si="0"/>
        <v>0.1875</v>
      </c>
      <c r="J32" s="37">
        <f t="shared" si="0"/>
        <v>0.11249999999999999</v>
      </c>
    </row>
    <row r="33" spans="1:11" ht="30" customHeight="1" x14ac:dyDescent="0.3">
      <c r="A33" s="133"/>
      <c r="B33" s="31" t="s">
        <v>211</v>
      </c>
      <c r="C33" s="130">
        <v>0.35</v>
      </c>
      <c r="D33" s="130">
        <v>0.35</v>
      </c>
      <c r="E33" s="130">
        <v>0.35</v>
      </c>
      <c r="F33" s="130">
        <v>0.35</v>
      </c>
      <c r="G33" s="130">
        <v>0.35</v>
      </c>
      <c r="H33" s="130">
        <v>0.35</v>
      </c>
      <c r="I33" s="130">
        <v>0.35</v>
      </c>
      <c r="J33" s="130">
        <v>0.35</v>
      </c>
    </row>
    <row r="34" spans="1:11" ht="18" x14ac:dyDescent="0.3">
      <c r="B34" s="134" t="s">
        <v>200</v>
      </c>
      <c r="C34" s="35">
        <v>0</v>
      </c>
      <c r="D34" s="36">
        <v>0.1</v>
      </c>
      <c r="E34" s="35">
        <v>0</v>
      </c>
      <c r="F34" s="35">
        <v>0.03</v>
      </c>
      <c r="G34" s="35">
        <v>0.05</v>
      </c>
      <c r="H34" s="35">
        <v>0.05</v>
      </c>
      <c r="I34" s="35">
        <v>0.05</v>
      </c>
      <c r="J34" s="35">
        <v>0.05</v>
      </c>
      <c r="K34" t="s">
        <v>201</v>
      </c>
    </row>
    <row r="35" spans="1:11" ht="18" x14ac:dyDescent="0.3">
      <c r="B35" s="34" t="s">
        <v>202</v>
      </c>
      <c r="C35" s="37">
        <f>C33*C30*C31*C34</f>
        <v>0</v>
      </c>
      <c r="D35" s="37">
        <f t="shared" ref="D35:J35" si="1">D33*D30*D31*D34</f>
        <v>2.9749999999999999E-2</v>
      </c>
      <c r="E35" s="37">
        <f t="shared" si="1"/>
        <v>0</v>
      </c>
      <c r="F35" s="37">
        <f t="shared" si="1"/>
        <v>2.6249999999999997E-3</v>
      </c>
      <c r="G35" s="37">
        <f t="shared" si="1"/>
        <v>4.3749999999999995E-3</v>
      </c>
      <c r="H35" s="37">
        <f t="shared" si="1"/>
        <v>4.3749999999999995E-3</v>
      </c>
      <c r="I35" s="37">
        <f t="shared" si="1"/>
        <v>4.3749999999999995E-3</v>
      </c>
      <c r="J35" s="37">
        <f t="shared" si="1"/>
        <v>2.6250000000000002E-3</v>
      </c>
    </row>
    <row r="36" spans="1:11" x14ac:dyDescent="0.3">
      <c r="B36" s="38">
        <v>0.75</v>
      </c>
      <c r="C36" s="35">
        <v>0.5</v>
      </c>
      <c r="D36" s="35">
        <v>0.3</v>
      </c>
      <c r="E36" s="35">
        <v>0.9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t="s">
        <v>203</v>
      </c>
    </row>
    <row r="37" spans="1:11" ht="18" x14ac:dyDescent="0.3">
      <c r="B37" s="34" t="s">
        <v>204</v>
      </c>
      <c r="C37" s="37">
        <f>C36*C32*$B36</f>
        <v>0.15271874999999999</v>
      </c>
      <c r="D37" s="37">
        <f>D36*D32*$B36</f>
        <v>0.1434375</v>
      </c>
      <c r="E37" s="37">
        <f>E36*E32*$B36</f>
        <v>0.163326375</v>
      </c>
      <c r="F37" s="37">
        <f t="shared" ref="F37:J37" si="2">F36*F32*$B36</f>
        <v>0</v>
      </c>
      <c r="G37" s="37">
        <f t="shared" si="2"/>
        <v>0</v>
      </c>
      <c r="H37" s="37">
        <f t="shared" si="2"/>
        <v>0</v>
      </c>
      <c r="I37" s="37">
        <f t="shared" si="2"/>
        <v>0</v>
      </c>
      <c r="J37" s="37">
        <f t="shared" si="2"/>
        <v>0</v>
      </c>
    </row>
    <row r="38" spans="1:11" x14ac:dyDescent="0.3">
      <c r="B38" s="38">
        <v>0.05</v>
      </c>
      <c r="C38" s="35">
        <v>0.3</v>
      </c>
      <c r="D38" s="35">
        <v>0.25</v>
      </c>
      <c r="E38" s="35">
        <v>0.5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1" ht="18" x14ac:dyDescent="0.3">
      <c r="B39" s="34" t="s">
        <v>205</v>
      </c>
      <c r="C39" s="37">
        <f>C38*C32*$B38</f>
        <v>6.1087499999999996E-3</v>
      </c>
      <c r="D39" s="37">
        <f t="shared" ref="D39:J39" si="3">D38*D32*$B38</f>
        <v>7.9687500000000001E-3</v>
      </c>
      <c r="E39" s="37">
        <f t="shared" si="3"/>
        <v>6.0491249999999998E-3</v>
      </c>
      <c r="F39" s="37">
        <f t="shared" si="3"/>
        <v>0</v>
      </c>
      <c r="G39" s="37">
        <f t="shared" si="3"/>
        <v>0</v>
      </c>
      <c r="H39" s="37">
        <f t="shared" si="3"/>
        <v>0</v>
      </c>
      <c r="I39" s="37">
        <f t="shared" si="3"/>
        <v>0</v>
      </c>
      <c r="J39" s="37">
        <f t="shared" si="3"/>
        <v>0</v>
      </c>
    </row>
  </sheetData>
  <mergeCells count="10">
    <mergeCell ref="A29:A32"/>
    <mergeCell ref="I27:I28"/>
    <mergeCell ref="J27:J28"/>
    <mergeCell ref="B27:B28"/>
    <mergeCell ref="C27:C28"/>
    <mergeCell ref="D27:D28"/>
    <mergeCell ref="E27:E28"/>
    <mergeCell ref="F27:F28"/>
    <mergeCell ref="G27:G28"/>
    <mergeCell ref="H27:H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F1F4C4B1F3E4DA8A2DE71B865F5F8" ma:contentTypeVersion="23" ma:contentTypeDescription="Create a new document." ma:contentTypeScope="" ma:versionID="b9cd12ca3fb3f5730d499747007899db">
  <xsd:schema xmlns:xsd="http://www.w3.org/2001/XMLSchema" xmlns:xs="http://www.w3.org/2001/XMLSchema" xmlns:p="http://schemas.microsoft.com/office/2006/metadata/properties" xmlns:ns2="c52ea13e-05bc-4532-bf99-ac3f8be0b731" xmlns:ns3="99e65b5a-5264-44ee-9b0e-889e81ef75d6" xmlns:ns4="8d7096d6-fc66-4344-9e3f-2445529a09f6" targetNamespace="http://schemas.microsoft.com/office/2006/metadata/properties" ma:root="true" ma:fieldsID="92eab6e614fa4f8802425e1375e2b715" ns2:_="" ns3:_="" ns4:_="">
    <xsd:import namespace="c52ea13e-05bc-4532-bf99-ac3f8be0b731"/>
    <xsd:import namespace="99e65b5a-5264-44ee-9b0e-889e81ef75d6"/>
    <xsd:import namespace="8d7096d6-fc66-4344-9e3f-2445529a0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DateandTimeModified" minOccurs="0"/>
                <xsd:element ref="ns2:MediaServiceObjectDetectorVersions" minOccurs="0"/>
                <xsd:element ref="ns2:MediaServiceSearchProperties" minOccurs="0"/>
                <xsd:element ref="ns2:FY" minOccurs="0"/>
                <xsd:element ref="ns2:Contraparte" minOccurs="0"/>
                <xsd:element ref="ns2:Country" minOccurs="0"/>
                <xsd:element ref="ns2: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ea13e-05bc-4532-bf99-ac3f8be0b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22e118f-d533-465d-b5ca-7beed2256e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DateandTimeModified" ma:index="24" nillable="true" ma:displayName="Date and Time Modified" ma:format="DateOnly" ma:internalName="DateandTimeModified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Y" ma:index="27" nillable="true" ma:displayName="FY" ma:format="Dropdown" ma:internalName="FY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NA"/>
        </xsd:restriction>
      </xsd:simpleType>
    </xsd:element>
    <xsd:element name="Contraparte" ma:index="28" nillable="true" ma:displayName="Contraparte" ma:format="Dropdown" ma:internalName="Contraparte">
      <xsd:simpleType>
        <xsd:restriction base="dms:Choice">
          <xsd:enumeration value="MSPAS"/>
          <xsd:enumeration value="MINSAL"/>
          <xsd:enumeration value="SESAL"/>
          <xsd:enumeration value="MINSA"/>
          <xsd:enumeration value="IGSS"/>
          <xsd:enumeration value="ISSS"/>
          <xsd:enumeration value="IHSS"/>
          <xsd:enumeration value="CSS"/>
          <xsd:enumeration value="NA"/>
        </xsd:restriction>
      </xsd:simpleType>
    </xsd:element>
    <xsd:element name="Country" ma:index="29" nillable="true" ma:displayName="Country" ma:format="Dropdown" ma:internalName="Country">
      <xsd:simpleType>
        <xsd:restriction base="dms:Choice">
          <xsd:enumeration value="Guatemala"/>
          <xsd:enumeration value="El Salvador"/>
          <xsd:enumeration value="Honduras"/>
          <xsd:enumeration value="Panama"/>
          <xsd:enumeration value="Regional"/>
          <xsd:enumeration value="NA"/>
        </xsd:restriction>
      </xsd:simpleType>
    </xsd:element>
    <xsd:element name="TA" ma:index="30" nillable="true" ma:displayName="TA" ma:description="Nombre del área técnica" ma:format="Dropdown" ma:internalName="TA">
      <xsd:simpleType>
        <xsd:restriction base="dms:Choice">
          <xsd:enumeration value="Strategy&amp;Planning"/>
          <xsd:enumeration value="FASP"/>
          <xsd:enumeration value="Procurement"/>
          <xsd:enumeration value="Quality_Assurance"/>
          <xsd:enumeration value="MIS"/>
          <xsd:enumeration value="M&amp;E"/>
          <xsd:enumeration value="Warehousing&amp;Distribution"/>
          <xsd:enumeration value="Workforce Development"/>
          <xsd:enumeration value="GS1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65b5a-5264-44ee-9b0e-889e81ef75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ad66ac9-c68e-4fda-8d53-8b6c82e6a081}" ma:internalName="TaxCatchAll" ma:showField="CatchAllData" ma:web="99e65b5a-5264-44ee-9b0e-889e81ef7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Modified xmlns="c52ea13e-05bc-4532-bf99-ac3f8be0b731" xsi:nil="true"/>
    <lcf76f155ced4ddcb4097134ff3c332f xmlns="c52ea13e-05bc-4532-bf99-ac3f8be0b731">
      <Terms xmlns="http://schemas.microsoft.com/office/infopath/2007/PartnerControls"/>
    </lcf76f155ced4ddcb4097134ff3c332f>
    <Country xmlns="c52ea13e-05bc-4532-bf99-ac3f8be0b731" xsi:nil="true"/>
    <TaxCatchAll xmlns="8d7096d6-fc66-4344-9e3f-2445529a09f6" xsi:nil="true"/>
    <Contraparte xmlns="c52ea13e-05bc-4532-bf99-ac3f8be0b731" xsi:nil="true"/>
    <TA xmlns="c52ea13e-05bc-4532-bf99-ac3f8be0b731" xsi:nil="true"/>
    <FY xmlns="c52ea13e-05bc-4532-bf99-ac3f8be0b731" xsi:nil="true"/>
    <SharedWithUsers xmlns="99e65b5a-5264-44ee-9b0e-889e81ef75d6">
      <UserInfo>
        <DisplayName>Erica Barraza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B47350-EFBE-45DF-8F28-09F1BEFF6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2ea13e-05bc-4532-bf99-ac3f8be0b731"/>
    <ds:schemaRef ds:uri="99e65b5a-5264-44ee-9b0e-889e81ef75d6"/>
    <ds:schemaRef ds:uri="8d7096d6-fc66-4344-9e3f-2445529a0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D47633-9E0C-4537-AE9A-154682F7A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97EAA-09EA-494F-B9CA-509A1F8E352A}">
  <ds:schemaRefs>
    <ds:schemaRef ds:uri="99e65b5a-5264-44ee-9b0e-889e81ef75d6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8d7096d6-fc66-4344-9e3f-2445529a09f6"/>
    <ds:schemaRef ds:uri="c52ea13e-05bc-4532-bf99-ac3f8be0b73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Distribución 2023</vt:lpstr>
      <vt:lpstr>Segregación</vt:lpstr>
      <vt:lpstr>Distribución de Presupuesto VIH</vt:lpstr>
      <vt:lpstr>Presupuesto proyectado</vt:lpstr>
      <vt:lpstr>Resultados 2025</vt:lpstr>
      <vt:lpstr>Resultados 2026</vt:lpstr>
      <vt:lpstr>Resultados 2027</vt:lpstr>
      <vt:lpstr>Población</vt:lpstr>
      <vt:lpstr>Supuestos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GHSC-PSM-El Salvador</dc:creator>
  <cp:keywords/>
  <dc:description/>
  <cp:lastModifiedBy>Oficina Apoyo a Fondo Mundial</cp:lastModifiedBy>
  <cp:revision/>
  <dcterms:created xsi:type="dcterms:W3CDTF">2021-04-30T21:29:18Z</dcterms:created>
  <dcterms:modified xsi:type="dcterms:W3CDTF">2024-04-27T01:33:57Z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0x01010070DF1F4C4B1F3E4DA8A2DE71B865F5F8</vt:lpwstr>
  </property>
</Properties>
</file>